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8fa87aa4463a1a66/Documents/LTA Guest Comms (layer 2)/.codex_tmp/cogs-matrix-019f61ad/"/>
    </mc:Choice>
  </mc:AlternateContent>
  <xr:revisionPtr revIDLastSave="0" documentId="11_3D451022D5A99E4C3AD223FCEAAEA730A0D0F406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ssumptions" sheetId="1" r:id="rId1"/>
    <sheet name="Vendor Pricing" sheetId="2" r:id="rId2"/>
    <sheet name="Workload Drivers" sheetId="3" r:id="rId3"/>
    <sheet name="Scenario Calculator" sheetId="4" r:id="rId4"/>
    <sheet name="COGS Matrix" sheetId="5" r:id="rId5"/>
    <sheet name="Unit Economics" sheetId="6" r:id="rId6"/>
    <sheet name="Scenario Matrix" sheetId="7" r:id="rId7"/>
    <sheet name="Onboarding" sheetId="8" r:id="rId8"/>
    <sheet name="Pricing Sensitivity" sheetId="9" r:id="rId9"/>
    <sheet name="Bottlenecks" sheetId="10" r:id="rId10"/>
    <sheet name="QA" sheetId="11" r:id="rId11"/>
  </sheets>
  <definedNames>
    <definedName name="_xlnm._FilterDatabase" localSheetId="0" hidden="1">Assumptions!$A$4:$I$52</definedName>
    <definedName name="_xlnm._FilterDatabase" localSheetId="4" hidden="1">'COGS Matrix'!$A$8:$W$45</definedName>
    <definedName name="_xlnm._FilterDatabase" localSheetId="6" hidden="1">'Scenario Matrix'!$A$4:$W$24</definedName>
    <definedName name="_xlnm._FilterDatabase" localSheetId="1" hidden="1">'Vendor Pricing'!$A$4:$J$45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1" l="1"/>
  <c r="E11" i="11" s="1"/>
  <c r="B11" i="11"/>
  <c r="C10" i="11"/>
  <c r="E10" i="11" s="1"/>
  <c r="B10" i="11"/>
  <c r="C9" i="11"/>
  <c r="E9" i="11" s="1"/>
  <c r="B9" i="11"/>
  <c r="C8" i="11"/>
  <c r="E8" i="11" s="1"/>
  <c r="B8" i="11"/>
  <c r="H11" i="9"/>
  <c r="F11" i="9"/>
  <c r="E11" i="9"/>
  <c r="C11" i="9"/>
  <c r="A11" i="9"/>
  <c r="H10" i="9"/>
  <c r="F10" i="9"/>
  <c r="E10" i="9"/>
  <c r="C10" i="9"/>
  <c r="A10" i="9"/>
  <c r="H9" i="9"/>
  <c r="F9" i="9"/>
  <c r="E9" i="9"/>
  <c r="C9" i="9"/>
  <c r="A9" i="9"/>
  <c r="H8" i="9"/>
  <c r="F8" i="9"/>
  <c r="E8" i="9"/>
  <c r="C8" i="9"/>
  <c r="A8" i="9"/>
  <c r="H7" i="9"/>
  <c r="F7" i="9"/>
  <c r="E7" i="9"/>
  <c r="C7" i="9"/>
  <c r="A7" i="9"/>
  <c r="H6" i="9"/>
  <c r="F6" i="9"/>
  <c r="E6" i="9"/>
  <c r="C6" i="9"/>
  <c r="A6" i="9"/>
  <c r="H5" i="9"/>
  <c r="F5" i="9"/>
  <c r="E5" i="9"/>
  <c r="C5" i="9"/>
  <c r="A5" i="9"/>
  <c r="AM24" i="7"/>
  <c r="AL24" i="7"/>
  <c r="P24" i="7" s="1"/>
  <c r="AK24" i="7"/>
  <c r="AH24" i="7"/>
  <c r="AG24" i="7"/>
  <c r="AF24" i="7"/>
  <c r="AE24" i="7"/>
  <c r="AD24" i="7"/>
  <c r="Y24" i="7"/>
  <c r="AC24" i="7" s="1"/>
  <c r="W24" i="7"/>
  <c r="V24" i="7"/>
  <c r="N24" i="7"/>
  <c r="AM23" i="7"/>
  <c r="AL23" i="7"/>
  <c r="P23" i="7" s="1"/>
  <c r="AK23" i="7"/>
  <c r="AH23" i="7"/>
  <c r="AG23" i="7"/>
  <c r="AF23" i="7"/>
  <c r="AE23" i="7"/>
  <c r="AD23" i="7"/>
  <c r="Y23" i="7"/>
  <c r="AC23" i="7" s="1"/>
  <c r="W23" i="7"/>
  <c r="V23" i="7"/>
  <c r="N23" i="7"/>
  <c r="AM22" i="7"/>
  <c r="AL22" i="7"/>
  <c r="P22" i="7" s="1"/>
  <c r="AK22" i="7"/>
  <c r="AH22" i="7"/>
  <c r="AG22" i="7"/>
  <c r="AF22" i="7"/>
  <c r="AE22" i="7"/>
  <c r="AD22" i="7"/>
  <c r="Y22" i="7"/>
  <c r="AC22" i="7" s="1"/>
  <c r="W22" i="7"/>
  <c r="V22" i="7"/>
  <c r="N22" i="7"/>
  <c r="AM21" i="7"/>
  <c r="AL21" i="7"/>
  <c r="AK21" i="7"/>
  <c r="AH21" i="7"/>
  <c r="AG21" i="7"/>
  <c r="AF21" i="7"/>
  <c r="AE21" i="7"/>
  <c r="AD21" i="7"/>
  <c r="Y21" i="7"/>
  <c r="Z21" i="7" s="1"/>
  <c r="W21" i="7"/>
  <c r="V21" i="7"/>
  <c r="P21" i="7"/>
  <c r="N21" i="7"/>
  <c r="AM20" i="7"/>
  <c r="AL20" i="7"/>
  <c r="P20" i="7" s="1"/>
  <c r="AK20" i="7"/>
  <c r="AH20" i="7"/>
  <c r="AG20" i="7"/>
  <c r="AF20" i="7"/>
  <c r="AE20" i="7"/>
  <c r="AD20" i="7"/>
  <c r="Y20" i="7"/>
  <c r="AC20" i="7" s="1"/>
  <c r="W20" i="7"/>
  <c r="V20" i="7"/>
  <c r="N20" i="7"/>
  <c r="AM19" i="7"/>
  <c r="AL19" i="7"/>
  <c r="P19" i="7" s="1"/>
  <c r="AK19" i="7"/>
  <c r="AH19" i="7"/>
  <c r="AG19" i="7"/>
  <c r="AF19" i="7"/>
  <c r="AE19" i="7"/>
  <c r="AD19" i="7"/>
  <c r="Y19" i="7"/>
  <c r="AC19" i="7" s="1"/>
  <c r="W19" i="7"/>
  <c r="V19" i="7"/>
  <c r="N19" i="7"/>
  <c r="AM18" i="7"/>
  <c r="AL18" i="7"/>
  <c r="P18" i="7" s="1"/>
  <c r="AK18" i="7"/>
  <c r="AH18" i="7"/>
  <c r="AG18" i="7"/>
  <c r="AF18" i="7"/>
  <c r="AE18" i="7"/>
  <c r="AD18" i="7"/>
  <c r="AC18" i="7"/>
  <c r="Z18" i="7"/>
  <c r="AA18" i="7" s="1"/>
  <c r="Y18" i="7"/>
  <c r="W18" i="7"/>
  <c r="V18" i="7"/>
  <c r="N18" i="7"/>
  <c r="AM17" i="7"/>
  <c r="AL17" i="7"/>
  <c r="P17" i="7" s="1"/>
  <c r="AK17" i="7"/>
  <c r="AH17" i="7"/>
  <c r="AG17" i="7"/>
  <c r="AF17" i="7"/>
  <c r="AE17" i="7"/>
  <c r="AD17" i="7"/>
  <c r="Y17" i="7"/>
  <c r="AC17" i="7" s="1"/>
  <c r="W17" i="7"/>
  <c r="V17" i="7"/>
  <c r="N17" i="7"/>
  <c r="AM16" i="7"/>
  <c r="AL16" i="7"/>
  <c r="AK16" i="7"/>
  <c r="AH16" i="7"/>
  <c r="AG16" i="7"/>
  <c r="AF16" i="7"/>
  <c r="AE16" i="7"/>
  <c r="AD16" i="7"/>
  <c r="Y16" i="7"/>
  <c r="AC16" i="7" s="1"/>
  <c r="W16" i="7"/>
  <c r="V16" i="7"/>
  <c r="P16" i="7"/>
  <c r="N16" i="7"/>
  <c r="AM15" i="7"/>
  <c r="AL15" i="7"/>
  <c r="AK15" i="7"/>
  <c r="AH15" i="7"/>
  <c r="AG15" i="7"/>
  <c r="AF15" i="7"/>
  <c r="AE15" i="7"/>
  <c r="AD15" i="7"/>
  <c r="Y15" i="7"/>
  <c r="AC15" i="7" s="1"/>
  <c r="W15" i="7"/>
  <c r="V15" i="7"/>
  <c r="P15" i="7"/>
  <c r="N15" i="7"/>
  <c r="AM14" i="7"/>
  <c r="AL14" i="7"/>
  <c r="P14" i="7" s="1"/>
  <c r="AK14" i="7"/>
  <c r="AH14" i="7"/>
  <c r="AG14" i="7"/>
  <c r="AF14" i="7"/>
  <c r="AE14" i="7"/>
  <c r="AD14" i="7"/>
  <c r="Y14" i="7"/>
  <c r="Z14" i="7" s="1"/>
  <c r="W14" i="7"/>
  <c r="V14" i="7"/>
  <c r="N14" i="7"/>
  <c r="AM13" i="7"/>
  <c r="AL13" i="7"/>
  <c r="P13" i="7" s="1"/>
  <c r="AK13" i="7"/>
  <c r="AH13" i="7"/>
  <c r="AG13" i="7"/>
  <c r="AF13" i="7"/>
  <c r="AE13" i="7"/>
  <c r="AD13" i="7"/>
  <c r="Y13" i="7"/>
  <c r="Z13" i="7" s="1"/>
  <c r="W13" i="7"/>
  <c r="V13" i="7"/>
  <c r="N13" i="7"/>
  <c r="AM12" i="7"/>
  <c r="AL12" i="7"/>
  <c r="P12" i="7" s="1"/>
  <c r="AK12" i="7"/>
  <c r="AH12" i="7"/>
  <c r="AG12" i="7"/>
  <c r="AF12" i="7"/>
  <c r="AE12" i="7"/>
  <c r="AD12" i="7"/>
  <c r="Y12" i="7"/>
  <c r="AC12" i="7" s="1"/>
  <c r="W12" i="7"/>
  <c r="V12" i="7"/>
  <c r="N12" i="7"/>
  <c r="AM11" i="7"/>
  <c r="AL11" i="7"/>
  <c r="P11" i="7" s="1"/>
  <c r="AK11" i="7"/>
  <c r="AH11" i="7"/>
  <c r="AG11" i="7"/>
  <c r="AF11" i="7"/>
  <c r="AE11" i="7"/>
  <c r="AD11" i="7"/>
  <c r="Y11" i="7"/>
  <c r="AC11" i="7" s="1"/>
  <c r="W11" i="7"/>
  <c r="V11" i="7"/>
  <c r="N11" i="7"/>
  <c r="AM10" i="7"/>
  <c r="AL10" i="7"/>
  <c r="P10" i="7" s="1"/>
  <c r="AK10" i="7"/>
  <c r="AH10" i="7"/>
  <c r="AG10" i="7"/>
  <c r="AF10" i="7"/>
  <c r="AE10" i="7"/>
  <c r="AD10" i="7"/>
  <c r="Y10" i="7"/>
  <c r="AC10" i="7" s="1"/>
  <c r="W10" i="7"/>
  <c r="V10" i="7"/>
  <c r="N10" i="7"/>
  <c r="AM9" i="7"/>
  <c r="AL9" i="7"/>
  <c r="P9" i="7" s="1"/>
  <c r="AK9" i="7"/>
  <c r="AH9" i="7"/>
  <c r="AG9" i="7"/>
  <c r="AF9" i="7"/>
  <c r="AE9" i="7"/>
  <c r="AD9" i="7"/>
  <c r="Y9" i="7"/>
  <c r="AC9" i="7" s="1"/>
  <c r="W9" i="7"/>
  <c r="V9" i="7"/>
  <c r="N9" i="7"/>
  <c r="AM8" i="7"/>
  <c r="AL8" i="7"/>
  <c r="AK8" i="7"/>
  <c r="AH8" i="7"/>
  <c r="AG8" i="7"/>
  <c r="AF8" i="7"/>
  <c r="AE8" i="7"/>
  <c r="AD8" i="7"/>
  <c r="Y8" i="7"/>
  <c r="AC8" i="7" s="1"/>
  <c r="W8" i="7"/>
  <c r="V8" i="7"/>
  <c r="P8" i="7"/>
  <c r="N8" i="7"/>
  <c r="AM7" i="7"/>
  <c r="AL7" i="7"/>
  <c r="AK7" i="7"/>
  <c r="AH7" i="7"/>
  <c r="AG7" i="7"/>
  <c r="AF7" i="7"/>
  <c r="AE7" i="7"/>
  <c r="AD7" i="7"/>
  <c r="Y7" i="7"/>
  <c r="AC7" i="7" s="1"/>
  <c r="W7" i="7"/>
  <c r="V7" i="7"/>
  <c r="P7" i="7"/>
  <c r="N7" i="7"/>
  <c r="AM6" i="7"/>
  <c r="AL6" i="7"/>
  <c r="P6" i="7" s="1"/>
  <c r="AK6" i="7"/>
  <c r="AH6" i="7"/>
  <c r="AG6" i="7"/>
  <c r="AF6" i="7"/>
  <c r="AE6" i="7"/>
  <c r="AD6" i="7"/>
  <c r="Y6" i="7"/>
  <c r="Z6" i="7" s="1"/>
  <c r="W6" i="7"/>
  <c r="V6" i="7"/>
  <c r="N6" i="7"/>
  <c r="AM5" i="7"/>
  <c r="AL5" i="7"/>
  <c r="P5" i="7" s="1"/>
  <c r="AK5" i="7"/>
  <c r="AH5" i="7"/>
  <c r="AG5" i="7"/>
  <c r="AF5" i="7"/>
  <c r="AE5" i="7"/>
  <c r="AD5" i="7"/>
  <c r="Y5" i="7"/>
  <c r="Z5" i="7" s="1"/>
  <c r="W5" i="7"/>
  <c r="V5" i="7"/>
  <c r="N5" i="7"/>
  <c r="AN11" i="6"/>
  <c r="AM11" i="6"/>
  <c r="Q11" i="6" s="1"/>
  <c r="AL11" i="6"/>
  <c r="AI11" i="6"/>
  <c r="AH11" i="6"/>
  <c r="AG11" i="6"/>
  <c r="AF11" i="6"/>
  <c r="AE11" i="6"/>
  <c r="Z11" i="6"/>
  <c r="AD11" i="6" s="1"/>
  <c r="X11" i="6"/>
  <c r="W11" i="6"/>
  <c r="O11" i="6"/>
  <c r="AN10" i="6"/>
  <c r="AM10" i="6"/>
  <c r="AL10" i="6"/>
  <c r="AI10" i="6"/>
  <c r="AH10" i="6"/>
  <c r="AG10" i="6"/>
  <c r="AF10" i="6"/>
  <c r="AE10" i="6"/>
  <c r="Z10" i="6"/>
  <c r="AD10" i="6" s="1"/>
  <c r="X10" i="6"/>
  <c r="W10" i="6"/>
  <c r="Q10" i="6"/>
  <c r="O10" i="6"/>
  <c r="AN9" i="6"/>
  <c r="AM9" i="6"/>
  <c r="Q9" i="6" s="1"/>
  <c r="AL9" i="6"/>
  <c r="AI9" i="6"/>
  <c r="AH9" i="6"/>
  <c r="AG9" i="6"/>
  <c r="AF9" i="6"/>
  <c r="AE9" i="6"/>
  <c r="Z9" i="6"/>
  <c r="AA9" i="6" s="1"/>
  <c r="AB9" i="6" s="1"/>
  <c r="X9" i="6"/>
  <c r="W9" i="6"/>
  <c r="O9" i="6"/>
  <c r="AN8" i="6"/>
  <c r="AM8" i="6"/>
  <c r="Q8" i="6" s="1"/>
  <c r="AL8" i="6"/>
  <c r="AI8" i="6"/>
  <c r="AH8" i="6"/>
  <c r="AG8" i="6"/>
  <c r="AF8" i="6"/>
  <c r="AE8" i="6"/>
  <c r="Z8" i="6"/>
  <c r="AD8" i="6" s="1"/>
  <c r="X8" i="6"/>
  <c r="W8" i="6"/>
  <c r="O8" i="6"/>
  <c r="AN7" i="6"/>
  <c r="AM7" i="6"/>
  <c r="Q7" i="6" s="1"/>
  <c r="AL7" i="6"/>
  <c r="AI7" i="6"/>
  <c r="AH7" i="6"/>
  <c r="AG7" i="6"/>
  <c r="AF7" i="6"/>
  <c r="AE7" i="6"/>
  <c r="Z7" i="6"/>
  <c r="AD7" i="6" s="1"/>
  <c r="X7" i="6"/>
  <c r="W7" i="6"/>
  <c r="O7" i="6"/>
  <c r="AN6" i="6"/>
  <c r="AM6" i="6"/>
  <c r="Q6" i="6" s="1"/>
  <c r="AL6" i="6"/>
  <c r="AI6" i="6"/>
  <c r="AH6" i="6"/>
  <c r="AG6" i="6"/>
  <c r="AF6" i="6"/>
  <c r="AE6" i="6"/>
  <c r="Z6" i="6"/>
  <c r="AD6" i="6" s="1"/>
  <c r="X6" i="6"/>
  <c r="W6" i="6"/>
  <c r="O6" i="6"/>
  <c r="AN5" i="6"/>
  <c r="AM5" i="6"/>
  <c r="AL5" i="6"/>
  <c r="AI5" i="6"/>
  <c r="AH5" i="6"/>
  <c r="AG5" i="6"/>
  <c r="AF5" i="6"/>
  <c r="AE5" i="6"/>
  <c r="Z5" i="6"/>
  <c r="AA5" i="6" s="1"/>
  <c r="X5" i="6"/>
  <c r="W5" i="6"/>
  <c r="Q5" i="6"/>
  <c r="O5" i="6"/>
  <c r="L50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B43" i="4" s="1"/>
  <c r="K32" i="5"/>
  <c r="L32" i="5" s="1"/>
  <c r="L31" i="5"/>
  <c r="K31" i="5"/>
  <c r="K30" i="5"/>
  <c r="L30" i="5" s="1"/>
  <c r="L29" i="5"/>
  <c r="L28" i="5"/>
  <c r="L23" i="5"/>
  <c r="B40" i="4" s="1"/>
  <c r="L22" i="5"/>
  <c r="K21" i="5"/>
  <c r="L21" i="5" s="1"/>
  <c r="K18" i="5"/>
  <c r="K17" i="5"/>
  <c r="L17" i="5" s="1"/>
  <c r="M17" i="5" s="1"/>
  <c r="L9" i="5"/>
  <c r="Q4" i="5"/>
  <c r="M41" i="5" s="1"/>
  <c r="N4" i="5"/>
  <c r="B4" i="5"/>
  <c r="B52" i="4"/>
  <c r="B19" i="11" s="1"/>
  <c r="D19" i="11" s="1"/>
  <c r="E19" i="11" s="1"/>
  <c r="B48" i="4"/>
  <c r="B46" i="4"/>
  <c r="B50" i="4" s="1"/>
  <c r="C37" i="4"/>
  <c r="B37" i="4"/>
  <c r="B30" i="4"/>
  <c r="K27" i="5" s="1"/>
  <c r="L27" i="5" s="1"/>
  <c r="B29" i="4"/>
  <c r="K26" i="5" s="1"/>
  <c r="L26" i="5" s="1"/>
  <c r="B28" i="4"/>
  <c r="K25" i="5" s="1"/>
  <c r="L25" i="5" s="1"/>
  <c r="B27" i="4"/>
  <c r="K20" i="5" s="1"/>
  <c r="L20" i="5" s="1"/>
  <c r="B26" i="4"/>
  <c r="K19" i="5" s="1"/>
  <c r="L19" i="5" s="1"/>
  <c r="B25" i="4"/>
  <c r="K14" i="5" s="1"/>
  <c r="L14" i="5" s="1"/>
  <c r="B21" i="4"/>
  <c r="B22" i="4" s="1"/>
  <c r="B20" i="4"/>
  <c r="K24" i="5" s="1"/>
  <c r="L24" i="5" s="1"/>
  <c r="E12" i="3"/>
  <c r="D12" i="3"/>
  <c r="C12" i="3"/>
  <c r="E11" i="3"/>
  <c r="D11" i="3"/>
  <c r="C11" i="3"/>
  <c r="E10" i="3"/>
  <c r="D10" i="3"/>
  <c r="C10" i="3"/>
  <c r="E9" i="3"/>
  <c r="D9" i="3"/>
  <c r="C9" i="3"/>
  <c r="E8" i="3"/>
  <c r="D8" i="3"/>
  <c r="C8" i="3"/>
  <c r="E7" i="3"/>
  <c r="D7" i="3"/>
  <c r="C7" i="3"/>
  <c r="E6" i="3"/>
  <c r="D6" i="3"/>
  <c r="C6" i="3"/>
  <c r="E5" i="3"/>
  <c r="D5" i="3"/>
  <c r="C5" i="3"/>
  <c r="M34" i="5" l="1"/>
  <c r="B24" i="4"/>
  <c r="K12" i="5" s="1"/>
  <c r="L12" i="5" s="1"/>
  <c r="M12" i="5" s="1"/>
  <c r="M21" i="5"/>
  <c r="M42" i="5"/>
  <c r="AD9" i="6"/>
  <c r="Z19" i="7"/>
  <c r="AA19" i="7" s="1"/>
  <c r="M30" i="5"/>
  <c r="B41" i="4"/>
  <c r="M45" i="5"/>
  <c r="Z8" i="7"/>
  <c r="AA8" i="7" s="1"/>
  <c r="M9" i="5"/>
  <c r="M20" i="5"/>
  <c r="AA8" i="6"/>
  <c r="AB8" i="6" s="1"/>
  <c r="M26" i="5"/>
  <c r="AD5" i="6"/>
  <c r="AC5" i="7"/>
  <c r="M19" i="5"/>
  <c r="C12" i="11"/>
  <c r="E12" i="11" s="1"/>
  <c r="AA7" i="6"/>
  <c r="AB7" i="6" s="1"/>
  <c r="AC14" i="7"/>
  <c r="AC21" i="7"/>
  <c r="M27" i="5"/>
  <c r="AC6" i="7"/>
  <c r="AC13" i="7"/>
  <c r="M37" i="5"/>
  <c r="M22" i="5"/>
  <c r="AB18" i="7"/>
  <c r="AI18" i="7" s="1"/>
  <c r="AJ18" i="7" s="1"/>
  <c r="M18" i="7" s="1"/>
  <c r="Q18" i="7" s="1"/>
  <c r="R18" i="7" s="1"/>
  <c r="M28" i="5"/>
  <c r="Z10" i="7"/>
  <c r="AA10" i="7" s="1"/>
  <c r="Z11" i="7"/>
  <c r="AA11" i="7" s="1"/>
  <c r="AA10" i="6"/>
  <c r="AB10" i="6" s="1"/>
  <c r="M23" i="5"/>
  <c r="M39" i="5"/>
  <c r="M40" i="5"/>
  <c r="M29" i="5"/>
  <c r="AC9" i="6"/>
  <c r="AJ9" i="6" s="1"/>
  <c r="AK9" i="6" s="1"/>
  <c r="N9" i="6" s="1"/>
  <c r="R9" i="6" s="1"/>
  <c r="S9" i="6" s="1"/>
  <c r="Z17" i="7"/>
  <c r="AA17" i="7" s="1"/>
  <c r="Z9" i="7"/>
  <c r="AA9" i="7" s="1"/>
  <c r="Z16" i="7"/>
  <c r="AA16" i="7" s="1"/>
  <c r="AB13" i="7"/>
  <c r="AA13" i="7"/>
  <c r="AB21" i="7"/>
  <c r="AA21" i="7"/>
  <c r="AI21" i="7" s="1"/>
  <c r="AJ21" i="7" s="1"/>
  <c r="M21" i="7" s="1"/>
  <c r="AB6" i="7"/>
  <c r="AA6" i="7"/>
  <c r="M14" i="5"/>
  <c r="B39" i="4"/>
  <c r="M25" i="5"/>
  <c r="AC5" i="6"/>
  <c r="AB5" i="6"/>
  <c r="AB5" i="7"/>
  <c r="AA5" i="7"/>
  <c r="AB14" i="7"/>
  <c r="AA14" i="7"/>
  <c r="M32" i="5"/>
  <c r="B42" i="4"/>
  <c r="B38" i="4"/>
  <c r="M24" i="5"/>
  <c r="C38" i="4" s="1"/>
  <c r="K15" i="5"/>
  <c r="L15" i="5" s="1"/>
  <c r="M15" i="5" s="1"/>
  <c r="L18" i="5"/>
  <c r="B23" i="4"/>
  <c r="AA6" i="6"/>
  <c r="AB6" i="6" s="1"/>
  <c r="Z7" i="7"/>
  <c r="AA7" i="7" s="1"/>
  <c r="Z15" i="7"/>
  <c r="AA15" i="7" s="1"/>
  <c r="Z23" i="7"/>
  <c r="AA23" i="7" s="1"/>
  <c r="M35" i="5"/>
  <c r="M43" i="5"/>
  <c r="AA11" i="6"/>
  <c r="AB11" i="6" s="1"/>
  <c r="Z12" i="7"/>
  <c r="Z20" i="7"/>
  <c r="M36" i="5"/>
  <c r="M44" i="5"/>
  <c r="AC8" i="6"/>
  <c r="AJ8" i="6" s="1"/>
  <c r="AK8" i="6" s="1"/>
  <c r="N8" i="6" s="1"/>
  <c r="AB9" i="7"/>
  <c r="AI9" i="7" s="1"/>
  <c r="AJ9" i="7" s="1"/>
  <c r="M9" i="7" s="1"/>
  <c r="AB17" i="7"/>
  <c r="AI17" i="7" s="1"/>
  <c r="AJ17" i="7" s="1"/>
  <c r="M17" i="7" s="1"/>
  <c r="Z22" i="7"/>
  <c r="AA22" i="7" s="1"/>
  <c r="M38" i="5"/>
  <c r="M31" i="5"/>
  <c r="Z24" i="7"/>
  <c r="AA24" i="7" s="1"/>
  <c r="AB8" i="7"/>
  <c r="AB24" i="7"/>
  <c r="B12" i="11"/>
  <c r="M33" i="5"/>
  <c r="B20" i="11"/>
  <c r="AI6" i="7" l="1"/>
  <c r="AJ6" i="7" s="1"/>
  <c r="M6" i="7" s="1"/>
  <c r="AJ5" i="6"/>
  <c r="AK5" i="6" s="1"/>
  <c r="N5" i="6" s="1"/>
  <c r="AB19" i="7"/>
  <c r="AI19" i="7" s="1"/>
  <c r="AJ19" i="7" s="1"/>
  <c r="M19" i="7" s="1"/>
  <c r="Q19" i="7" s="1"/>
  <c r="R19" i="7" s="1"/>
  <c r="AB10" i="7"/>
  <c r="AI10" i="7" s="1"/>
  <c r="AJ10" i="7" s="1"/>
  <c r="M10" i="7" s="1"/>
  <c r="AB16" i="7"/>
  <c r="AI16" i="7" s="1"/>
  <c r="AJ16" i="7" s="1"/>
  <c r="M16" i="7" s="1"/>
  <c r="S16" i="7" s="1"/>
  <c r="AI8" i="7"/>
  <c r="AJ8" i="7" s="1"/>
  <c r="M8" i="7" s="1"/>
  <c r="AB15" i="7"/>
  <c r="AI13" i="7"/>
  <c r="AJ13" i="7" s="1"/>
  <c r="M13" i="7" s="1"/>
  <c r="Q13" i="7" s="1"/>
  <c r="R13" i="7" s="1"/>
  <c r="C41" i="4"/>
  <c r="C39" i="4"/>
  <c r="C40" i="4"/>
  <c r="AC7" i="6"/>
  <c r="AJ7" i="6" s="1"/>
  <c r="AK7" i="6" s="1"/>
  <c r="N7" i="6" s="1"/>
  <c r="B7" i="9" s="1"/>
  <c r="AC6" i="6"/>
  <c r="AJ6" i="6" s="1"/>
  <c r="AK6" i="6" s="1"/>
  <c r="N6" i="6" s="1"/>
  <c r="AC10" i="6"/>
  <c r="AJ10" i="6" s="1"/>
  <c r="AK10" i="6" s="1"/>
  <c r="N10" i="6" s="1"/>
  <c r="AI5" i="7"/>
  <c r="AJ5" i="7" s="1"/>
  <c r="M5" i="7" s="1"/>
  <c r="U5" i="7" s="1"/>
  <c r="AB23" i="7"/>
  <c r="AI23" i="7" s="1"/>
  <c r="AJ23" i="7" s="1"/>
  <c r="M23" i="7" s="1"/>
  <c r="C43" i="4"/>
  <c r="AB7" i="7"/>
  <c r="AI7" i="7" s="1"/>
  <c r="AJ7" i="7" s="1"/>
  <c r="M7" i="7" s="1"/>
  <c r="C42" i="4"/>
  <c r="AB11" i="7"/>
  <c r="AI11" i="7" s="1"/>
  <c r="AJ11" i="7" s="1"/>
  <c r="M11" i="7" s="1"/>
  <c r="U8" i="6"/>
  <c r="T8" i="6"/>
  <c r="P8" i="6"/>
  <c r="B8" i="9"/>
  <c r="V8" i="6"/>
  <c r="R8" i="6"/>
  <c r="S8" i="6" s="1"/>
  <c r="U16" i="7"/>
  <c r="T16" i="7"/>
  <c r="T17" i="7"/>
  <c r="S17" i="7"/>
  <c r="O17" i="7"/>
  <c r="U17" i="7"/>
  <c r="Q17" i="7"/>
  <c r="R17" i="7" s="1"/>
  <c r="U8" i="7"/>
  <c r="T8" i="7"/>
  <c r="S8" i="7"/>
  <c r="O8" i="7"/>
  <c r="Q8" i="7"/>
  <c r="R8" i="7" s="1"/>
  <c r="T9" i="7"/>
  <c r="S9" i="7"/>
  <c r="O9" i="7"/>
  <c r="U9" i="7"/>
  <c r="Q9" i="7"/>
  <c r="R9" i="7" s="1"/>
  <c r="AB20" i="7"/>
  <c r="AA20" i="7"/>
  <c r="AI20" i="7" s="1"/>
  <c r="AJ20" i="7" s="1"/>
  <c r="M20" i="7" s="1"/>
  <c r="K11" i="5"/>
  <c r="L11" i="5" s="1"/>
  <c r="M11" i="5" s="1"/>
  <c r="K16" i="5"/>
  <c r="L16" i="5" s="1"/>
  <c r="K10" i="5"/>
  <c r="L10" i="5" s="1"/>
  <c r="K13" i="5"/>
  <c r="L13" i="5" s="1"/>
  <c r="M13" i="5" s="1"/>
  <c r="U10" i="7"/>
  <c r="T10" i="7"/>
  <c r="S10" i="7"/>
  <c r="O10" i="7"/>
  <c r="Q6" i="7"/>
  <c r="R6" i="7" s="1"/>
  <c r="O6" i="7"/>
  <c r="U6" i="7"/>
  <c r="T6" i="7"/>
  <c r="S6" i="7"/>
  <c r="U21" i="7"/>
  <c r="T21" i="7"/>
  <c r="S21" i="7"/>
  <c r="Q21" i="7"/>
  <c r="R21" i="7" s="1"/>
  <c r="O21" i="7"/>
  <c r="B36" i="4"/>
  <c r="M18" i="5"/>
  <c r="C36" i="4" s="1"/>
  <c r="AI15" i="7"/>
  <c r="AJ15" i="7" s="1"/>
  <c r="M15" i="7" s="1"/>
  <c r="Q10" i="7"/>
  <c r="R10" i="7" s="1"/>
  <c r="U18" i="7"/>
  <c r="T18" i="7"/>
  <c r="S18" i="7"/>
  <c r="O18" i="7"/>
  <c r="S5" i="7"/>
  <c r="AB22" i="7"/>
  <c r="AI22" i="7" s="1"/>
  <c r="AJ22" i="7" s="1"/>
  <c r="M22" i="7" s="1"/>
  <c r="AI24" i="7"/>
  <c r="AJ24" i="7" s="1"/>
  <c r="M24" i="7" s="1"/>
  <c r="E20" i="11"/>
  <c r="D20" i="11"/>
  <c r="AB12" i="7"/>
  <c r="AA12" i="7"/>
  <c r="O19" i="7"/>
  <c r="U19" i="7"/>
  <c r="T19" i="7"/>
  <c r="S19" i="7"/>
  <c r="R5" i="6"/>
  <c r="S5" i="6" s="1"/>
  <c r="P5" i="6"/>
  <c r="B5" i="9"/>
  <c r="V5" i="6"/>
  <c r="U5" i="6"/>
  <c r="T5" i="6"/>
  <c r="AC11" i="6"/>
  <c r="AJ11" i="6" s="1"/>
  <c r="AK11" i="6" s="1"/>
  <c r="N11" i="6" s="1"/>
  <c r="B9" i="9"/>
  <c r="V9" i="6"/>
  <c r="U9" i="6"/>
  <c r="T9" i="6"/>
  <c r="P9" i="6"/>
  <c r="AI14" i="7"/>
  <c r="AJ14" i="7" s="1"/>
  <c r="M14" i="7" s="1"/>
  <c r="S13" i="7" l="1"/>
  <c r="P7" i="6"/>
  <c r="T7" i="6"/>
  <c r="O13" i="7"/>
  <c r="Q16" i="7"/>
  <c r="R16" i="7" s="1"/>
  <c r="R7" i="6"/>
  <c r="S7" i="6" s="1"/>
  <c r="Q5" i="7"/>
  <c r="R5" i="7" s="1"/>
  <c r="T13" i="7"/>
  <c r="U13" i="7"/>
  <c r="O16" i="7"/>
  <c r="T11" i="7"/>
  <c r="Q11" i="7"/>
  <c r="R11" i="7" s="1"/>
  <c r="O11" i="7"/>
  <c r="U11" i="7"/>
  <c r="S11" i="7"/>
  <c r="P10" i="6"/>
  <c r="V10" i="6"/>
  <c r="B10" i="9"/>
  <c r="R10" i="6"/>
  <c r="S10" i="6" s="1"/>
  <c r="T10" i="6"/>
  <c r="U10" i="6"/>
  <c r="T5" i="7"/>
  <c r="U7" i="6"/>
  <c r="O5" i="7"/>
  <c r="V7" i="6"/>
  <c r="O22" i="7"/>
  <c r="U22" i="7"/>
  <c r="T22" i="7"/>
  <c r="S22" i="7"/>
  <c r="Q22" i="7"/>
  <c r="R22" i="7" s="1"/>
  <c r="U24" i="7"/>
  <c r="T24" i="7"/>
  <c r="S24" i="7"/>
  <c r="O24" i="7"/>
  <c r="Q24" i="7"/>
  <c r="R24" i="7" s="1"/>
  <c r="U7" i="7"/>
  <c r="T7" i="7"/>
  <c r="S7" i="7"/>
  <c r="Q7" i="7"/>
  <c r="R7" i="7" s="1"/>
  <c r="O7" i="7"/>
  <c r="V6" i="6"/>
  <c r="U6" i="6"/>
  <c r="T6" i="6"/>
  <c r="R6" i="6"/>
  <c r="S6" i="6" s="1"/>
  <c r="P6" i="6"/>
  <c r="B6" i="11" s="1"/>
  <c r="B6" i="9"/>
  <c r="AI12" i="7"/>
  <c r="AJ12" i="7" s="1"/>
  <c r="M12" i="7" s="1"/>
  <c r="Q14" i="7"/>
  <c r="R14" i="7" s="1"/>
  <c r="O14" i="7"/>
  <c r="U14" i="7"/>
  <c r="T14" i="7"/>
  <c r="S14" i="7"/>
  <c r="G8" i="9"/>
  <c r="I8" i="9" s="1"/>
  <c r="D8" i="9"/>
  <c r="U15" i="7"/>
  <c r="T15" i="7"/>
  <c r="S15" i="7"/>
  <c r="Q15" i="7"/>
  <c r="R15" i="7" s="1"/>
  <c r="O15" i="7"/>
  <c r="G5" i="9"/>
  <c r="I5" i="9" s="1"/>
  <c r="D5" i="9"/>
  <c r="M10" i="5"/>
  <c r="B44" i="4"/>
  <c r="B34" i="4"/>
  <c r="L47" i="5"/>
  <c r="B16" i="11" s="1"/>
  <c r="E4" i="5"/>
  <c r="B11" i="9"/>
  <c r="V11" i="6"/>
  <c r="U11" i="6"/>
  <c r="T11" i="6"/>
  <c r="P11" i="6"/>
  <c r="R11" i="6"/>
  <c r="S11" i="6" s="1"/>
  <c r="M16" i="5"/>
  <c r="C35" i="4" s="1"/>
  <c r="B35" i="4"/>
  <c r="C6" i="11"/>
  <c r="E6" i="11" s="1"/>
  <c r="U20" i="7"/>
  <c r="T20" i="7"/>
  <c r="S20" i="7"/>
  <c r="O20" i="7"/>
  <c r="Q20" i="7"/>
  <c r="R20" i="7" s="1"/>
  <c r="D9" i="9"/>
  <c r="G9" i="9"/>
  <c r="I9" i="9" s="1"/>
  <c r="U23" i="7"/>
  <c r="T23" i="7"/>
  <c r="S23" i="7"/>
  <c r="O23" i="7"/>
  <c r="Q23" i="7"/>
  <c r="R23" i="7" s="1"/>
  <c r="D7" i="9"/>
  <c r="G7" i="9"/>
  <c r="I7" i="9" s="1"/>
  <c r="B5" i="11" l="1"/>
  <c r="D10" i="9"/>
  <c r="G10" i="9"/>
  <c r="I10" i="9" s="1"/>
  <c r="C5" i="11"/>
  <c r="E5" i="11" s="1"/>
  <c r="C7" i="11"/>
  <c r="E7" i="11" s="1"/>
  <c r="B18" i="11"/>
  <c r="D18" i="11" s="1"/>
  <c r="E18" i="11" s="1"/>
  <c r="C16" i="11"/>
  <c r="D16" i="11" s="1"/>
  <c r="E16" i="11" s="1"/>
  <c r="U12" i="7"/>
  <c r="T12" i="7"/>
  <c r="S12" i="7"/>
  <c r="O12" i="7"/>
  <c r="Q12" i="7"/>
  <c r="R12" i="7" s="1"/>
  <c r="M49" i="5"/>
  <c r="B45" i="4"/>
  <c r="H4" i="5"/>
  <c r="K4" i="5" s="1"/>
  <c r="C34" i="4"/>
  <c r="G6" i="9"/>
  <c r="I6" i="9" s="1"/>
  <c r="D6" i="9"/>
  <c r="G11" i="9"/>
  <c r="I11" i="9" s="1"/>
  <c r="D11" i="9"/>
  <c r="B7" i="11"/>
  <c r="B49" i="4" l="1"/>
  <c r="B47" i="4"/>
  <c r="C17" i="11"/>
  <c r="B51" i="4"/>
  <c r="B53" i="4" s="1"/>
  <c r="L48" i="5"/>
  <c r="B17" i="11"/>
  <c r="D17" i="11" s="1"/>
  <c r="E17" i="11" s="1"/>
</calcChain>
</file>

<file path=xl/sharedStrings.xml><?xml version="1.0" encoding="utf-8"?>
<sst xmlns="http://schemas.openxmlformats.org/spreadsheetml/2006/main" count="2077" uniqueCount="1279">
  <si>
    <t>Acceleration Platform COGS and Unit Economics Model</t>
  </si>
  <si>
    <t>Software/vendor infrastructure assumptions only. Owner labor, founder time, onboarding labor and service overhead are excluded from COGS and pricing floors.</t>
  </si>
  <si>
    <t>Category</t>
  </si>
  <si>
    <t>Driver key</t>
  </si>
  <si>
    <t>Low</t>
  </si>
  <si>
    <t>Base</t>
  </si>
  <si>
    <t>High</t>
  </si>
  <si>
    <t>Unit</t>
  </si>
  <si>
    <t>Label</t>
  </si>
  <si>
    <t>Source / rationale</t>
  </si>
  <si>
    <t>Attention</t>
  </si>
  <si>
    <t>Portfolio</t>
  </si>
  <si>
    <t>sources_per_client</t>
  </si>
  <si>
    <t>sources/client</t>
  </si>
  <si>
    <t>ESTIMATE</t>
  </si>
  <si>
    <t>Source intensity control; count distinct source connections.</t>
  </si>
  <si>
    <t>Review pilot telemetry</t>
  </si>
  <si>
    <t>active_users_per_client</t>
  </si>
  <si>
    <t>users/client</t>
  </si>
  <si>
    <t>Operator and management users, not guest users.</t>
  </si>
  <si>
    <t>Evidence</t>
  </si>
  <si>
    <t>evidence_gb_per_property</t>
  </si>
  <si>
    <t>GB/property</t>
  </si>
  <si>
    <t>Raw payloads, documents, hashes and selected media; full photo archives can exceed stress.</t>
  </si>
  <si>
    <t>db_gb_per_property</t>
  </si>
  <si>
    <t>Canonical, mirror, lineage, indexes and operational metadata; raw blobs stay in object storage.</t>
  </si>
  <si>
    <t>egress_gb_per_property</t>
  </si>
  <si>
    <t>GB/property/month</t>
  </si>
  <si>
    <t>Exports, dashboard/API payloads and rebuild movement.</t>
  </si>
  <si>
    <t>Sync</t>
  </si>
  <si>
    <t>records_per_property_sync</t>
  </si>
  <si>
    <t>records/source/sync</t>
  </si>
  <si>
    <t>Logical changed or examined records across a source.</t>
  </si>
  <si>
    <t>change_capture_ratio</t>
  </si>
  <si>
    <t>%</t>
  </si>
  <si>
    <t>Fraction of examined records that become captured events/versions.</t>
  </si>
  <si>
    <t>api_page_size</t>
  </si>
  <si>
    <t>records/request</t>
  </si>
  <si>
    <t>Effective page size after vendor constraints.</t>
  </si>
  <si>
    <t>syncs_day_economical</t>
  </si>
  <si>
    <t>syncs/day</t>
  </si>
  <si>
    <t>Weekly to daily batch; field freshness policy should choose this.</t>
  </si>
  <si>
    <t>syncs_day_base</t>
  </si>
  <si>
    <t>Incremental polling plus webhooks where supported.</t>
  </si>
  <si>
    <t>syncs_day_aggressive</t>
  </si>
  <si>
    <t>Near-real-time polling proxy; webhooks should reduce calls where trustworthy.</t>
  </si>
  <si>
    <t>Runtime</t>
  </si>
  <si>
    <t>cpu_ms_request</t>
  </si>
  <si>
    <t>ms/request</t>
  </si>
  <si>
    <t>Workers CPU only; I/O wait is not billed as CPU on Standard.</t>
  </si>
  <si>
    <t>logs_per_request</t>
  </si>
  <si>
    <t>events/request</t>
  </si>
  <si>
    <t>After sampling; avoid payload logging and high cardinality.</t>
  </si>
  <si>
    <t>log_sample_rate</t>
  </si>
  <si>
    <t>Full sampling is reserved for errors and short investigations.</t>
  </si>
  <si>
    <t>base_container_cost</t>
  </si>
  <si>
    <t>$/month</t>
  </si>
  <si>
    <t>VERIFIED/ESTIMATE</t>
  </si>
  <si>
    <t>Current shared VPS incremental cost is $0; $25 is a verified managed dedicated-worker baseline only after activation.</t>
  </si>
  <si>
    <t>Replace with actual shared VPS invoice allocation when available.</t>
  </si>
  <si>
    <t>Connectors</t>
  </si>
  <si>
    <t>commodity_nango_share</t>
  </si>
  <si>
    <t>% connections</t>
  </si>
  <si>
    <t>VERIFIED/CANDIDATE</t>
  </si>
  <si>
    <t>Nango is not deployed; Low/Base exclude it. High activates a 25% commodity-auth sensitivity.</t>
  </si>
  <si>
    <t>Activate only for a supported production OAuth source.</t>
  </si>
  <si>
    <t>Non-COGS boundary</t>
  </si>
  <si>
    <t>connector_maintenance_hours_source</t>
  </si>
  <si>
    <t>hours/source/month</t>
  </si>
  <si>
    <t>EXCLUDED</t>
  </si>
  <si>
    <t>Human connector maintenance is outside software COGS.</t>
  </si>
  <si>
    <t>Taylor allocates separately.</t>
  </si>
  <si>
    <t>AI</t>
  </si>
  <si>
    <t>ai_calls_minimal</t>
  </si>
  <si>
    <t>calls/property/month</t>
  </si>
  <si>
    <t>Deterministic-first; AI only for exceptions or classification.</t>
  </si>
  <si>
    <t>ai_calls_standard</t>
  </si>
  <si>
    <t>Helper, scorecard narrative and selective extraction.</t>
  </si>
  <si>
    <t>ai_calls_heavy</t>
  </si>
  <si>
    <t>Agentic usage with tools; must have tenant budgets.</t>
  </si>
  <si>
    <t>ai_input_tokens_call</t>
  </si>
  <si>
    <t>tokens/call</t>
  </si>
  <si>
    <t>Measure by model because tokenizers differ.</t>
  </si>
  <si>
    <t>ai_output_tokens_call</t>
  </si>
  <si>
    <t>Includes reasoning where provider bills it as output.</t>
  </si>
  <si>
    <t>ai_input_price_minimal</t>
  </si>
  <si>
    <t>$/MTok</t>
  </si>
  <si>
    <t>VENDOR</t>
  </si>
  <si>
    <t>Gemini Flash-Lite class planning rate.</t>
  </si>
  <si>
    <t>ai_output_price_minimal</t>
  </si>
  <si>
    <t>VENDOR/EST</t>
  </si>
  <si>
    <t>Low-cost model class; verify chosen model at implementation.</t>
  </si>
  <si>
    <t>ai_input_price_standard</t>
  </si>
  <si>
    <t>Gemini 2.5 Flash to GPT-5.6 Luna class.</t>
  </si>
  <si>
    <t>ai_output_price_standard</t>
  </si>
  <si>
    <t>ai_input_price_heavy</t>
  </si>
  <si>
    <t>GPT-5.6 Luna/Terra/Sol class.</t>
  </si>
  <si>
    <t>ai_output_price_heavy</t>
  </si>
  <si>
    <t>ocr_pages_property</t>
  </si>
  <si>
    <t>pages/property/month</t>
  </si>
  <si>
    <t>Incremental documents; onboarding spike belongs in implementation cost.</t>
  </si>
  <si>
    <t>ocr_cost_page</t>
  </si>
  <si>
    <t>$/page</t>
  </si>
  <si>
    <t>Google Document AI OCR/layout/form parser range.</t>
  </si>
  <si>
    <t>Owner allocation (excluded)</t>
  </si>
  <si>
    <t>loaded_hourly_rate</t>
  </si>
  <si>
    <t>$/hour</t>
  </si>
  <si>
    <t>OWNER INPUT — excluded from software COGS</t>
  </si>
  <si>
    <t>Taylor allocates separately; not used by any COGS or pricing-floor formula.</t>
  </si>
  <si>
    <t>platform_hours_client</t>
  </si>
  <si>
    <t>hours/client/month</t>
  </si>
  <si>
    <t>platform_hours_property</t>
  </si>
  <si>
    <t>hours/property/month</t>
  </si>
  <si>
    <t>accelerator_hours_client</t>
  </si>
  <si>
    <t>accelerator_hours_property</t>
  </si>
  <si>
    <t>onboard_platform_hours_client</t>
  </si>
  <si>
    <t>hours/client</t>
  </si>
  <si>
    <t>onboard_platform_hours_property</t>
  </si>
  <si>
    <t>hours/property</t>
  </si>
  <si>
    <t>onboard_accel_hours_client</t>
  </si>
  <si>
    <t>onboard_accel_hours_property</t>
  </si>
  <si>
    <t>Margin</t>
  </si>
  <si>
    <t>operational_buffer</t>
  </si>
  <si>
    <t>POLICY</t>
  </si>
  <si>
    <t>Required capacity and operational buffer.</t>
  </si>
  <si>
    <t>vendor_surprise_contingency</t>
  </si>
  <si>
    <t>Separate contingency for API access, drift, migrations and pricing changes.</t>
  </si>
  <si>
    <t>target_vendor_gm</t>
  </si>
  <si>
    <t>Low-cost pole target before human service labor.</t>
  </si>
  <si>
    <t>target_loaded_gm_platform</t>
  </si>
  <si>
    <t>Low-cost platform after measured support labor.</t>
  </si>
  <si>
    <t>target_loaded_gm_accel</t>
  </si>
  <si>
    <t>High-touch accelerator recurring service margin.</t>
  </si>
  <si>
    <t>Commercial</t>
  </si>
  <si>
    <t>platform_price_client</t>
  </si>
  <si>
    <t>$/client/month</t>
  </si>
  <si>
    <t>HYPOTHESIS</t>
  </si>
  <si>
    <t>Candidate low-cost base fee, not a decision.</t>
  </si>
  <si>
    <t>platform_price_property</t>
  </si>
  <si>
    <t>$/property/month</t>
  </si>
  <si>
    <t>Candidate low-cost usage fee, not a decision.</t>
  </si>
  <si>
    <t>accelerator_retainer</t>
  </si>
  <si>
    <t>Existing product thesis says optional $5k/month after value gate.</t>
  </si>
  <si>
    <t>accelerator_implementation</t>
  </si>
  <si>
    <t>$/client</t>
  </si>
  <si>
    <t>Existing product thesis says $40k standard implementation hypothesis.</t>
  </si>
  <si>
    <t>Vendor Pricing, Allowances and Contract Boundaries</t>
  </si>
  <si>
    <t>Official public pricing reviewed 2026-07-14. “Quote” means no reliable public unit price. Prices can change; revalidate before commitment.</t>
  </si>
  <si>
    <t>Vendor</t>
  </si>
  <si>
    <t>Product / plan</t>
  </si>
  <si>
    <t>Meter</t>
  </si>
  <si>
    <t>Public price</t>
  </si>
  <si>
    <t>Included allowance</t>
  </si>
  <si>
    <t>Overage formula</t>
  </si>
  <si>
    <t>Boundary / licensing constraint</t>
  </si>
  <si>
    <t>Currency</t>
  </si>
  <si>
    <t>Official source</t>
  </si>
  <si>
    <t>Verified date</t>
  </si>
  <si>
    <t>Cloudflare</t>
  </si>
  <si>
    <t>Workers Paid</t>
  </si>
  <si>
    <t>Account minimum</t>
  </si>
  <si>
    <t>$5/month</t>
  </si>
  <si>
    <t>10M requests; 30M CPU ms</t>
  </si>
  <si>
    <t>+$0.30/M requests; +$0.02/M CPU ms</t>
  </si>
  <si>
    <t>Pages Functions same meter; static assets free; subrequests not billed</t>
  </si>
  <si>
    <t>USD</t>
  </si>
  <si>
    <t>OFFICIAL</t>
  </si>
  <si>
    <t>https://developers.cloudflare.com/workers/platform/pricing/</t>
  </si>
  <si>
    <t>2026-07-14</t>
  </si>
  <si>
    <t>Workers limits</t>
  </si>
  <si>
    <t>CPU/request</t>
  </si>
  <si>
    <t>30 sec default; up to 5 min</t>
  </si>
  <si>
    <t>Cron/Queue up to 15 min</t>
  </si>
  <si>
    <t>n/a</t>
  </si>
  <si>
    <t>Long CPU jobs are architectural fit issue, not early portfolio volume issue</t>
  </si>
  <si>
    <t>https://developers.cloudflare.com/workers/platform/limits/</t>
  </si>
  <si>
    <t>Queues</t>
  </si>
  <si>
    <t>Operations</t>
  </si>
  <si>
    <t>$0.40/M ops</t>
  </si>
  <si>
    <t>1M ops/month</t>
  </si>
  <si>
    <t>~3 ops/message; retries add reads</t>
  </si>
  <si>
    <t>64KB chunks; 14-day max retention on Paid</t>
  </si>
  <si>
    <t>https://developers.cloudflare.com/queues/platform/pricing/</t>
  </si>
  <si>
    <t>R2 Standard</t>
  </si>
  <si>
    <t>Storage</t>
  </si>
  <si>
    <t>$0.015/GB-month</t>
  </si>
  <si>
    <t>10 GB-month</t>
  </si>
  <si>
    <t>Class A $4.50/M; Class B $0.36/M</t>
  </si>
  <si>
    <t>1M-operation and GB billing units round up; free tier is account-wide</t>
  </si>
  <si>
    <t>https://developers.cloudflare.com/r2/pricing/</t>
  </si>
  <si>
    <t>R2 Infrequent Access</t>
  </si>
  <si>
    <t>$0.01/GB-month</t>
  </si>
  <si>
    <t>No free tier</t>
  </si>
  <si>
    <t>$0.01/GB retrieval; A $9/M; B $0.90/M</t>
  </si>
  <si>
    <t>30-day minimum; worse for hot/rebuilt evidence</t>
  </si>
  <si>
    <t>Workers Logs</t>
  </si>
  <si>
    <t>Log events</t>
  </si>
  <si>
    <t>$0.60/M overage</t>
  </si>
  <si>
    <t>20M/month; 7 days</t>
  </si>
  <si>
    <t>Sampling controls volume</t>
  </si>
  <si>
    <t>Free: 200k/day and 3 days</t>
  </si>
  <si>
    <t>https://developers.cloudflare.com/workers/observability/logs/workers-logs/</t>
  </si>
  <si>
    <t>OTel export</t>
  </si>
  <si>
    <t>Events</t>
  </si>
  <si>
    <t>$0.05/M overage</t>
  </si>
  <si>
    <t>10M logs + 10M traces/month</t>
  </si>
  <si>
    <t>Destination charges separate</t>
  </si>
  <si>
    <t>Metrics export not supported as of research date</t>
  </si>
  <si>
    <t>https://developers.cloudflare.com/workers/observability/exporting-opentelemetry-data/</t>
  </si>
  <si>
    <t>Network/CDN plans</t>
  </si>
  <si>
    <t>Zone plan</t>
  </si>
  <si>
    <t>Pro $20 annual / $25 monthly; Business $200 / $250</t>
  </si>
  <si>
    <t>WAF on all; plan features differ</t>
  </si>
  <si>
    <t>Contract custom</t>
  </si>
  <si>
    <t>Business includes SLA/PCI threshold; do not buy for Worker compute</t>
  </si>
  <si>
    <t>https://www.cloudflare.com/plans/</t>
  </si>
  <si>
    <t>Durable Objects</t>
  </si>
  <si>
    <t>Requests</t>
  </si>
  <si>
    <t>$0.15/M overage</t>
  </si>
  <si>
    <t>1M/month</t>
  </si>
  <si>
    <t>Duration +$12.50/M GB-s after 400k</t>
  </si>
  <si>
    <t>Use only for coordination/state that needs single-writer semantics</t>
  </si>
  <si>
    <t>https://developers.cloudflare.com/durable-objects/platform/pricing/</t>
  </si>
  <si>
    <t>Supabase</t>
  </si>
  <si>
    <t>Pro plan</t>
  </si>
  <si>
    <t>Organization</t>
  </si>
  <si>
    <t>$25/month</t>
  </si>
  <si>
    <t>100k MAU; 8GB DB; 250GB egress; 100GB storage</t>
  </si>
  <si>
    <t>DB +$0.125/GB; egress +$0.09/GB; storage +$0.0213/GB</t>
  </si>
  <si>
    <t>First project included; $10 compute credits/org</t>
  </si>
  <si>
    <t>https://supabase.com/pricing</t>
  </si>
  <si>
    <t>Compute</t>
  </si>
  <si>
    <t>Project compute</t>
  </si>
  <si>
    <t>Micro ~$10; Small ~$15; Medium ~$60; Large ~$111</t>
  </si>
  <si>
    <t>Hourly billing; one dedicated Postgres per project</t>
  </si>
  <si>
    <t>Step-function by selected size</t>
  </si>
  <si>
    <t>Every project has isolated Postgres; Small does not mean dedicated CPU</t>
  </si>
  <si>
    <t>https://supabase.com/docs/guides/platform/manage-your-usage/compute</t>
  </si>
  <si>
    <t>PITR</t>
  </si>
  <si>
    <t>Recovery window</t>
  </si>
  <si>
    <t>$0.137/project-hour (~$100/730h)</t>
  </si>
  <si>
    <t>Requires Small or larger; Pro includes 7 daily restore points</t>
  </si>
  <si>
    <t>Per project add-on</t>
  </si>
  <si>
    <t>Replaces daily backups; DB only; defer for replayable read-only pilot</t>
  </si>
  <si>
    <t>https://supabase.com/docs/guides/platform/backups</t>
  </si>
  <si>
    <t>Team</t>
  </si>
  <si>
    <t>$599/month</t>
  </si>
  <si>
    <t>SOC 2/ISO reports; 14d backup; 28d logs</t>
  </si>
  <si>
    <t>Usage overages as Pro</t>
  </si>
  <si>
    <t>Upgrade for buyer/security requirements, not raw scale</t>
  </si>
  <si>
    <t>Realtime</t>
  </si>
  <si>
    <t>Messages</t>
  </si>
  <si>
    <t>$2.50/M overage</t>
  </si>
  <si>
    <t>5M/month; 500 peak connections</t>
  </si>
  <si>
    <t>+$10 per 1,000 peak connections</t>
  </si>
  <si>
    <t>Avoid default realtime for batch-value data</t>
  </si>
  <si>
    <t>Nango</t>
  </si>
  <si>
    <t>Starter</t>
  </si>
  <si>
    <t>Platform floor</t>
  </si>
  <si>
    <t>from $50/month</t>
  </si>
  <si>
    <t>20 connections; 200k proxy requests/runs/records; 20 compute hours</t>
  </si>
  <si>
    <t>+$1/connection; +$0.0001/request/run/record/webhook</t>
  </si>
  <si>
    <t>Candidate only; no core STR source in current catalog</t>
  </si>
  <si>
    <t>https://nango.dev/pricing</t>
  </si>
  <si>
    <t>Growth</t>
  </si>
  <si>
    <t>from $500/month</t>
  </si>
  <si>
    <t>100 connections; 1M requests/runs/records</t>
  </si>
  <si>
    <t>Same published unit rates after allowance</t>
  </si>
  <si>
    <t>Self-hosted Enterprise has annual license + fraction of usage fees</t>
  </si>
  <si>
    <t>Merge</t>
  </si>
  <si>
    <t>Launch</t>
  </si>
  <si>
    <t>Linked accounts</t>
  </si>
  <si>
    <t>$650/month up to 10</t>
  </si>
  <si>
    <t>First 3 free; 10 included</t>
  </si>
  <si>
    <t>$65/linked account after</t>
  </si>
  <si>
    <t>Professional/Enterprise contract; custom frequency and security</t>
  </si>
  <si>
    <t>https://www.merge.dev/pricing/unified</t>
  </si>
  <si>
    <t>Pipedream</t>
  </si>
  <si>
    <t>Connect/Workflows</t>
  </si>
  <si>
    <t>Credits</t>
  </si>
  <si>
    <t>Plan-dependent; pricing page dynamic</t>
  </si>
  <si>
    <t>Development Connect free</t>
  </si>
  <si>
    <t>Memory/time credits; paid overage</t>
  </si>
  <si>
    <t>Do not model as committed without quote/exported calculator</t>
  </si>
  <si>
    <t>OFFICIAL-LIMITED</t>
  </si>
  <si>
    <t>https://pipedream.com/docs/pricing</t>
  </si>
  <si>
    <t>n8n</t>
  </si>
  <si>
    <t>Cloud Starter</t>
  </si>
  <si>
    <t>Executions</t>
  </si>
  <si>
    <t>EUR 20/month annual</t>
  </si>
  <si>
    <t>2.5k executions</t>
  </si>
  <si>
    <t>Plan upgrade/custom</t>
  </si>
  <si>
    <t>Unlimited users/workflows/steps; Cloud pricing execution-based</t>
  </si>
  <si>
    <t>EUR</t>
  </si>
  <si>
    <t>https://n8n.io/pricing/</t>
  </si>
  <si>
    <t>Self-host Business</t>
  </si>
  <si>
    <t>EUR 667/month annual</t>
  </si>
  <si>
    <t>40k executions</t>
  </si>
  <si>
    <t>Large overage buckets</t>
  </si>
  <si>
    <t>Community edition avoids license fee but creates ops COGS; enterprise features licensed</t>
  </si>
  <si>
    <t>Prismatic</t>
  </si>
  <si>
    <t>Scale/Enterprise</t>
  </si>
  <si>
    <t>Instances</t>
  </si>
  <si>
    <t>Sales quote</t>
  </si>
  <si>
    <t>Unlimited integrations/customers; volume per instance</t>
  </si>
  <si>
    <t>Custom</t>
  </si>
  <si>
    <t>Embedded marketplace and managed auth; dangerous until quoted</t>
  </si>
  <si>
    <t>UNKNOWN</t>
  </si>
  <si>
    <t>OFFICIAL-QUOTE</t>
  </si>
  <si>
    <t>https://prismatic.io/pricing/</t>
  </si>
  <si>
    <t>Airbyte</t>
  </si>
  <si>
    <t>Cloud Standard</t>
  </si>
  <si>
    <t>Replication</t>
  </si>
  <si>
    <t>$10/month minimum</t>
  </si>
  <si>
    <t>4 credits</t>
  </si>
  <si>
    <t>$15/M API rows; $10/GB DB/file</t>
  </si>
  <si>
    <t>Full resync billed again; Plus starts $500/month</t>
  </si>
  <si>
    <t>https://airbyte.com/product/airbyte-cloud</t>
  </si>
  <si>
    <t>Core self-managed</t>
  </si>
  <si>
    <t>Software license</t>
  </si>
  <si>
    <t>$0 license</t>
  </si>
  <si>
    <t>Open source</t>
  </si>
  <si>
    <t>Infra + operations labor</t>
  </si>
  <si>
    <t>Best for broad commodity replication, not bespoke STR semantics</t>
  </si>
  <si>
    <t>https://airbyte.com/pricing</t>
  </si>
  <si>
    <t>WorkOS</t>
  </si>
  <si>
    <t>AuthKit</t>
  </si>
  <si>
    <t>MAU</t>
  </si>
  <si>
    <t>$0 up to 1M active users</t>
  </si>
  <si>
    <t>1M MAU</t>
  </si>
  <si>
    <t>+$2,500/month per additional 1M</t>
  </si>
  <si>
    <t>Strong buy for commodity authentication</t>
  </si>
  <si>
    <t>https://workos.com/pricing</t>
  </si>
  <si>
    <t>SSO / Directory Sync</t>
  </si>
  <si>
    <t>Connection</t>
  </si>
  <si>
    <t>$125/connection/month</t>
  </si>
  <si>
    <t>None</t>
  </si>
  <si>
    <t>Volume tiers: $100/$80/$65/$50</t>
  </si>
  <si>
    <t>One enterprise customer IdP/directory = one connection</t>
  </si>
  <si>
    <t>Audit Logs</t>
  </si>
  <si>
    <t>Retention / SIEM</t>
  </si>
  <si>
    <t>$99/M stored events; $125/SIEM connection</t>
  </si>
  <si>
    <t>Ingestion product base shown free</t>
  </si>
  <si>
    <t>Custom support/annual options</t>
  </si>
  <si>
    <t>Avoid confusing application audit ledger with vendor log UI</t>
  </si>
  <si>
    <t>Sentry</t>
  </si>
  <si>
    <t>Plan</t>
  </si>
  <si>
    <t>$26/month annual</t>
  </si>
  <si>
    <t>50k errors; 5GB logs; 5M spans</t>
  </si>
  <si>
    <t>Logs +$0.50/GB; errors tiered</t>
  </si>
  <si>
    <t>90-day lookback; high-cardinality tags and full traces require budgets</t>
  </si>
  <si>
    <t>https://sentry.io/pricing/</t>
  </si>
  <si>
    <t>Business</t>
  </si>
  <si>
    <t>$80/month annual</t>
  </si>
  <si>
    <t>Same base data quotas; admin features</t>
  </si>
  <si>
    <t>Usage overages</t>
  </si>
  <si>
    <t>SAML/SCIM and advanced quota management</t>
  </si>
  <si>
    <t>Langfuse</t>
  </si>
  <si>
    <t>Core</t>
  </si>
  <si>
    <t>$29/month</t>
  </si>
  <si>
    <t>100k units; 90d access</t>
  </si>
  <si>
    <t>+$8/100k, declining at volume</t>
  </si>
  <si>
    <t>Self-hosting shifts cost to compute/Postgres/ClickHouse/ops</t>
  </si>
  <si>
    <t>https://langfuse.com/pricing</t>
  </si>
  <si>
    <t>Pro</t>
  </si>
  <si>
    <t>$199/month</t>
  </si>
  <si>
    <t>100k units; 3y access</t>
  </si>
  <si>
    <t>Teams add-on $300; Enterprise $2,499</t>
  </si>
  <si>
    <t>Google</t>
  </si>
  <si>
    <t>Document AI OCR</t>
  </si>
  <si>
    <t>Pages</t>
  </si>
  <si>
    <t>$1.50/1k OCR pages</t>
  </si>
  <si>
    <t>Tier to 5M pages</t>
  </si>
  <si>
    <t>$0.60/1k above 5M</t>
  </si>
  <si>
    <t>OCR only; Layout Parser is $10/1k and must be modeled separately</t>
  </si>
  <si>
    <t>https://cloud.google.com/document-ai/pricing</t>
  </si>
  <si>
    <t>OpenAI</t>
  </si>
  <si>
    <t>GPT-5.6 Luna</t>
  </si>
  <si>
    <t>Tokens</t>
  </si>
  <si>
    <t>$1 input / $6 output per MTok</t>
  </si>
  <si>
    <t>Cached input $0.10</t>
  </si>
  <si>
    <t>Long context &gt;272k: 2x input, 1.5x output</t>
  </si>
  <si>
    <t>Cache writes 1.25x; snapshot/version pinning matters</t>
  </si>
  <si>
    <t>https://developers.openai.com/api/docs/models/gpt-5.6-luna</t>
  </si>
  <si>
    <t>GPT-5.6 Terra</t>
  </si>
  <si>
    <t>$2.50 input / $15 output per MTok</t>
  </si>
  <si>
    <t>Cached input $0.25</t>
  </si>
  <si>
    <t>Use for complex exceptions, not every property refresh</t>
  </si>
  <si>
    <t>https://developers.openai.com/api/docs/models/gpt-5.6-terra</t>
  </si>
  <si>
    <t>Embeddings 3 small/large</t>
  </si>
  <si>
    <t>$0.02 / $0.13 per MTok</t>
  </si>
  <si>
    <t>Token-based</t>
  </si>
  <si>
    <t>Vector DB storage/index and re-embedding labor can exceed embedding API cost</t>
  </si>
  <si>
    <t>https://developers.openai.com/api/docs/models/text-embedding-3-small</t>
  </si>
  <si>
    <t>Anthropic</t>
  </si>
  <si>
    <t>Claude Sonnet 5</t>
  </si>
  <si>
    <t>Intro $2/$10 through Aug 31; then $3/$15 per MTok</t>
  </si>
  <si>
    <t>Cache pricing separate</t>
  </si>
  <si>
    <t>~30% more tokens for same text vs prior tokenizer</t>
  </si>
  <si>
    <t>Recount workloads; model price alone understates equivalent-text cost</t>
  </si>
  <si>
    <t>https://platform.claude.com/docs/en/about-claude/pricing</t>
  </si>
  <si>
    <t>Gemini 2.5 Flash</t>
  </si>
  <si>
    <t>$0.30 input / $2.50 output per MTok</t>
  </si>
  <si>
    <t>Batch input $0.15</t>
  </si>
  <si>
    <t>Grounding charged separately after allowance</t>
  </si>
  <si>
    <t>Paid data not used to improve products; check current retention terms</t>
  </si>
  <si>
    <t>https://ai.google.dev/gemini-api/docs/pricing</t>
  </si>
  <si>
    <t>NVIDIA</t>
  </si>
  <si>
    <t>RTX PRO 6000 Blackwell</t>
  </si>
  <si>
    <t>Hardware</t>
  </si>
  <si>
    <t>$13,250 GPU</t>
  </si>
  <si>
    <t>96GB class device</t>
  </si>
  <si>
    <t>Power/host/support separate</t>
  </si>
  <si>
    <t>Capex only makes sense for sustained private workloads or client requirement</t>
  </si>
  <si>
    <t>https://marketplace.nvidia.com/en-us/enterprise/laptops-workstations/nvidia-rtx-pro-6000-blackwell-workstation-edition/</t>
  </si>
  <si>
    <t>Stripe</t>
  </si>
  <si>
    <t>Payments</t>
  </si>
  <si>
    <t>Transaction</t>
  </si>
  <si>
    <t>2.9% + $0.30 domestic card</t>
  </si>
  <si>
    <t>No monthly fee</t>
  </si>
  <si>
    <t>Billing +0.7% volume if used</t>
  </si>
  <si>
    <t>ACH debit 0.8%, $5 cap; disputes $15</t>
  </si>
  <si>
    <t>https://stripe.com/pricing</t>
  </si>
  <si>
    <t>Twilio</t>
  </si>
  <si>
    <t>US SMS long code</t>
  </si>
  <si>
    <t>Message segment</t>
  </si>
  <si>
    <t>$0.0083 outbound + $0.0083 inbound</t>
  </si>
  <si>
    <t>Carrier fees; number; A2P registration; $0.001 failed fee</t>
  </si>
  <si>
    <t>Use email/in-app by default; SMS is opt-in exception path</t>
  </si>
  <si>
    <t>https://www.twilio.com/en-us/sms/pricing/us</t>
  </si>
  <si>
    <t>Twilio SendGrid</t>
  </si>
  <si>
    <t>Email API</t>
  </si>
  <si>
    <t>from $19.95/month</t>
  </si>
  <si>
    <t>100 emails/day free</t>
  </si>
  <si>
    <t>Plan/volume dependent</t>
  </si>
  <si>
    <t>Transactional email only; deliverability and support are real COGS</t>
  </si>
  <si>
    <t>https://www.twilio.com/en-us/pricing</t>
  </si>
  <si>
    <t>Docling / LiteLLM / Ollama / vLLM</t>
  </si>
  <si>
    <t>License</t>
  </si>
  <si>
    <t>MIT or Apache-2.0 depending project</t>
  </si>
  <si>
    <t>Compute, updates, security, support</t>
  </si>
  <si>
    <t>Model licenses remain separate and may restrict commercial use</t>
  </si>
  <si>
    <t>OFFICIAL-LICENSE</t>
  </si>
  <si>
    <t>https://github.com/docling-project/docling</t>
  </si>
  <si>
    <t>Document AI Layout Parser</t>
  </si>
  <si>
    <t>$10/1k pages</t>
  </si>
  <si>
    <t>Initial chunking included</t>
  </si>
  <si>
    <t>Tier/custom</t>
  </si>
  <si>
    <t>This is the workbook Base document-processing route; not OCR-only</t>
  </si>
  <si>
    <t>GPT-5.6 Sol</t>
  </si>
  <si>
    <t>$5 input / $30 output per MTok</t>
  </si>
  <si>
    <t>Cached input $0.50</t>
  </si>
  <si>
    <t>Long-context multiplier</t>
  </si>
  <si>
    <t>Stress sensitivity only</t>
  </si>
  <si>
    <t>https://developers.openai.com/api/docs/models/gpt-5.6-sol</t>
  </si>
  <si>
    <t>Containers</t>
  </si>
  <si>
    <t>Included allowance + usage meters</t>
  </si>
  <si>
    <t>25 GiB-hours memory; 375 vCPU-min; 200 GB-hours disk</t>
  </si>
  <si>
    <t>Memory/CPU/disk usage</t>
  </si>
  <si>
    <t>Stateless restartable jobs; not persistent browser-session host</t>
  </si>
  <si>
    <t>https://developers.cloudflare.com/containers/pricing/</t>
  </si>
  <si>
    <t>Render</t>
  </si>
  <si>
    <t>Standard worker</t>
  </si>
  <si>
    <t>Service</t>
  </si>
  <si>
    <t>2GB RAM; 1 CPU</t>
  </si>
  <si>
    <t>Additional services charged separately</t>
  </si>
  <si>
    <t>Credible dedicated always-on worker baseline</t>
  </si>
  <si>
    <t>https://render.com/pricing</t>
  </si>
  <si>
    <t>Resend</t>
  </si>
  <si>
    <t>Transactional email</t>
  </si>
  <si>
    <t>$0 Free / $20 Pro</t>
  </si>
  <si>
    <t>3k free; 50k Pro</t>
  </si>
  <si>
    <t>$0.90/1k over Pro</t>
  </si>
  <si>
    <t>No fixed pilot cost; custom SMTP required for production Supabase Auth</t>
  </si>
  <si>
    <t>https://resend.com/pricing?volume=50000</t>
  </si>
  <si>
    <t>Workload Drivers</t>
  </si>
  <si>
    <t>These formulas turn portfolio shape, source intensity, cadence and AI mode into requests, events, tokens and storage.</t>
  </si>
  <si>
    <t>Driver</t>
  </si>
  <si>
    <t>Formula / definition</t>
  </si>
  <si>
    <t>Pilot instrumentation</t>
  </si>
  <si>
    <t>Economic implication</t>
  </si>
  <si>
    <t>Sources/client</t>
  </si>
  <si>
    <t>Distinct authorized source connections</t>
  </si>
  <si>
    <t>count</t>
  </si>
  <si>
    <t>connection_id, vendor, tenant</t>
  </si>
  <si>
    <t>Per-connection vendors create client-scale COGS.</t>
  </si>
  <si>
    <t>Economical sync</t>
  </si>
  <si>
    <t>Weekly/daily batch</t>
  </si>
  <si>
    <t>scheduled_at, started_at, finished_at</t>
  </si>
  <si>
    <t>Default for slow-changing facts.</t>
  </si>
  <si>
    <t>Base incremental</t>
  </si>
  <si>
    <t>Webhooks + bounded polling</t>
  </si>
  <si>
    <t>change signal, cursor, page count</t>
  </si>
  <si>
    <t>Best general default.</t>
  </si>
  <si>
    <t>Aggressive sync</t>
  </si>
  <si>
    <t>Frequent polling / near real time</t>
  </si>
  <si>
    <t>poll reason and consumer value</t>
  </si>
  <si>
    <t>Sell as an add-on or source-specific SLA.</t>
  </si>
  <si>
    <t>Raw evidence</t>
  </si>
  <si>
    <t>Content-addressed originals</t>
  </si>
  <si>
    <t>bytes, object class, versions, reads</t>
  </si>
  <si>
    <t>Storage cheap; capture/review/retention labor is not.</t>
  </si>
  <si>
    <t>AI minimal</t>
  </si>
  <si>
    <t>Deterministic-first</t>
  </si>
  <si>
    <t>calls/property/mo</t>
  </si>
  <si>
    <t>tokens, model, purpose, cache</t>
  </si>
  <si>
    <t>Near-zero API COGS.</t>
  </si>
  <si>
    <t>AI standard</t>
  </si>
  <si>
    <t>Helper + scorecard</t>
  </si>
  <si>
    <t>tokens by tenant/property</t>
  </si>
  <si>
    <t>Usually modest with routing and budgets.</t>
  </si>
  <si>
    <t>AI heavy</t>
  </si>
  <si>
    <t>Agents and tools</t>
  </si>
  <si>
    <t>agent steps, tools, retries</t>
  </si>
  <si>
    <t>Can become first variable vendor COGS.</t>
  </si>
  <si>
    <t>Interactive Software COGS Calculator</t>
  </si>
  <si>
    <t>Vendor and infrastructure COGS only. Founder time, service labor, onboarding labor and overhead are explicitly excluded for owner allocation.</t>
  </si>
  <si>
    <t>Control</t>
  </si>
  <si>
    <t>Value</t>
  </si>
  <si>
    <t>Unit / choice</t>
  </si>
  <si>
    <t>Notes</t>
  </si>
  <si>
    <t>Case</t>
  </si>
  <si>
    <t>Low / Base / High</t>
  </si>
  <si>
    <t>Properties</t>
  </si>
  <si>
    <t>total portfolio</t>
  </si>
  <si>
    <t>Clients / workspaces</t>
  </si>
  <si>
    <t>tenant workspaces</t>
  </si>
  <si>
    <t>Sources per client</t>
  </si>
  <si>
    <t>authorized accounts / source systems</t>
  </si>
  <si>
    <t>Sync strategy</t>
  </si>
  <si>
    <t>cadence policy</t>
  </si>
  <si>
    <t>AI usage</t>
  </si>
  <si>
    <t>model/routing budget</t>
  </si>
  <si>
    <t>Frozen MVP has no reachable real-data model route.</t>
  </si>
  <si>
    <t>Deployment</t>
  </si>
  <si>
    <t>Shared</t>
  </si>
  <si>
    <t>who pays and isolation level</t>
  </si>
  <si>
    <t>Current Tahoe path is workspace-scoped in the shared Supabase project.</t>
  </si>
  <si>
    <t>Service pole</t>
  </si>
  <si>
    <t>Accelerator</t>
  </si>
  <si>
    <t>platform vs high-touch</t>
  </si>
  <si>
    <t>Enterprise SSO share</t>
  </si>
  <si>
    <t>share of clients with SSO connection</t>
  </si>
  <si>
    <t>PITR enabled</t>
  </si>
  <si>
    <t>0 or 1 per isolated project</t>
  </si>
  <si>
    <t>PITR activates only for non-rebuildable production writes or RPO &lt;24h.</t>
  </si>
  <si>
    <t>Candidate base fee / client</t>
  </si>
  <si>
    <t>recurring revenue input</t>
  </si>
  <si>
    <t>Candidate per-property fee</t>
  </si>
  <si>
    <t>Output driver</t>
  </si>
  <si>
    <t>Formula result</t>
  </si>
  <si>
    <t>Interpretation</t>
  </si>
  <si>
    <t>Connections</t>
  </si>
  <si>
    <t>Authorized source accounts.</t>
  </si>
  <si>
    <t>Syncs/day</t>
  </si>
  <si>
    <t>Cadence control.</t>
  </si>
  <si>
    <t>Captured events/month</t>
  </si>
  <si>
    <t>events/month</t>
  </si>
  <si>
    <t>Versioned evidence changes.</t>
  </si>
  <si>
    <t>API + app requests/month</t>
  </si>
  <si>
    <t>requests/month</t>
  </si>
  <si>
    <t>Includes dashboard/API activity.</t>
  </si>
  <si>
    <t>Queue operations/month</t>
  </si>
  <si>
    <t>operations/month</t>
  </si>
  <si>
    <t>One job envelope per property/source/sync × write/read/delete; not one message per evidence row.</t>
  </si>
  <si>
    <t>Evidence storage</t>
  </si>
  <si>
    <t>GB</t>
  </si>
  <si>
    <t>Raw/evidence objects.</t>
  </si>
  <si>
    <t>Database storage</t>
  </si>
  <si>
    <t>Structured database footprint.</t>
  </si>
  <si>
    <t>Egress</t>
  </si>
  <si>
    <t>GB/month</t>
  </si>
  <si>
    <t>Uncached transfer estimate.</t>
  </si>
  <si>
    <t>AI input tokens</t>
  </si>
  <si>
    <t>tokens/month</t>
  </si>
  <si>
    <t>Provider-billed input tokens.</t>
  </si>
  <si>
    <t>AI output tokens</t>
  </si>
  <si>
    <t>Provider-billed output/reasoning.</t>
  </si>
  <si>
    <t>Document-processing pages</t>
  </si>
  <si>
    <t>pages/month</t>
  </si>
  <si>
    <t>Incremental OCR/layout pages.</t>
  </si>
  <si>
    <t>Selected processor pages; base price represents Layout Parser, not OCR-only.</t>
  </si>
  <si>
    <t>Monthly COGS component</t>
  </si>
  <si>
    <t>Raw cost</t>
  </si>
  <si>
    <t>Buffered cost</t>
  </si>
  <si>
    <t>Cost type</t>
  </si>
  <si>
    <t>Formula / boundary</t>
  </si>
  <si>
    <t>Cloudflare Workers + Queues + Logs</t>
  </si>
  <si>
    <t>Fixed+usage</t>
  </si>
  <si>
    <t>Shared platform minimum plus measured usage.</t>
  </si>
  <si>
    <t>R2 evidence/object plane</t>
  </si>
  <si>
    <t>Variable GB/ops</t>
  </si>
  <si>
    <t>Planned evidence-vault cost using rounded Cloudflare billing units.</t>
  </si>
  <si>
    <t>Supabase org + compute + recovery</t>
  </si>
  <si>
    <t>Idle minimum+usage</t>
  </si>
  <si>
    <t>Plan, compute and PITR are independent decisions.</t>
  </si>
  <si>
    <t>Client-paid / BYO data plane</t>
  </si>
  <si>
    <t>Pass-through</t>
  </si>
  <si>
    <t>Direct-billed client environments remain pass-through and outside company COGS.</t>
  </si>
  <si>
    <t>Nango commodity authentication</t>
  </si>
  <si>
    <t>Connection floor+usage</t>
  </si>
  <si>
    <t>Deferred until a supported production OAuth source is deliberately activated.</t>
  </si>
  <si>
    <t>AI inference + document processing</t>
  </si>
  <si>
    <t>Token/page</t>
  </si>
  <si>
    <t>Frozen MVP is deterministic; future usage is metered by model and processor.</t>
  </si>
  <si>
    <t>Application/job runtime</t>
  </si>
  <si>
    <t>Fixed+dedicated</t>
  </si>
  <si>
    <t>Known subtotal excludes the unverified shared VPS invoice allocation.</t>
  </si>
  <si>
    <t>Identity / enterprise add-ons</t>
  </si>
  <si>
    <t>Per enterprise client</t>
  </si>
  <si>
    <t>Cloudflare Access/Supabase Auth are included; enterprise SSO is client-triggered.</t>
  </si>
  <si>
    <t>Paid observability</t>
  </si>
  <si>
    <t>Fixed+events</t>
  </si>
  <si>
    <t>Native logs/free tiers first; Sentry/Langfuse are deferred.</t>
  </si>
  <si>
    <t>Commercial software plumbing</t>
  </si>
  <si>
    <t>Fixed+transactions</t>
  </si>
  <si>
    <t>No fixed $25 bundle; payment fees are tied to collected revenue.</t>
  </si>
  <si>
    <t>Known raw software/vendor COGS</t>
  </si>
  <si>
    <t>Total</t>
  </si>
  <si>
    <t>Priced company-paid subtotal only.</t>
  </si>
  <si>
    <t>Buffered known software/vendor COGS</t>
  </si>
  <si>
    <t>20% buffer + contingency</t>
  </si>
  <si>
    <t>20% operating buffer and separate vendor/API contingency applied to priced items.</t>
  </si>
  <si>
    <t>Unresolved exposure count</t>
  </si>
  <si>
    <t>Open items</t>
  </si>
  <si>
    <t>Actual VPS invoice allocation and source-partner/API terms are not fabricated as $0 vendor prices.</t>
  </si>
  <si>
    <t>Total known software COGS</t>
  </si>
  <si>
    <t>Known buffered vendor and infrastructure subtotal; human costs excluded.</t>
  </si>
  <si>
    <t>Candidate recurring revenue</t>
  </si>
  <si>
    <t>Revenue</t>
  </si>
  <si>
    <t>User input.</t>
  </si>
  <si>
    <t>Known-cost software gross margin</t>
  </si>
  <si>
    <t>Candidate revenue minus software COGS.</t>
  </si>
  <si>
    <t>Unpriced exposure warning</t>
  </si>
  <si>
    <t>Boundary</t>
  </si>
  <si>
    <t>Margin is incomplete until unresolved vendor contracts/invoices are priced or passed through.</t>
  </si>
  <si>
    <t>Known-cost pricing floor: target GM</t>
  </si>
  <si>
    <t>Floor</t>
  </si>
  <si>
    <t>Revenue required to achieve the selected software gross-margin target.</t>
  </si>
  <si>
    <t>Human/service cost</t>
  </si>
  <si>
    <t>Excluded. Taylor allocates separately.</t>
  </si>
  <si>
    <t>Known-cost software pricing floor</t>
  </si>
  <si>
    <t>Decision floor</t>
  </si>
  <si>
    <t>Software-only known-cost floor; unresolved exposures remain visible in the matrix.</t>
  </si>
  <si>
    <t>Verified Software COGS Matrix</t>
  </si>
  <si>
    <t>Atomic vendor and infrastructure costs only. Human labor, founder time, onboarding, support labor and overhead are excluded. Current/deployed, target-pilot, optional, client-paid and unresolved costs are deliberately separated.</t>
  </si>
  <si>
    <t>Selected scenario</t>
  </si>
  <si>
    <t>Known raw COGS</t>
  </si>
  <si>
    <t>Buffered known COGS</t>
  </si>
  <si>
    <t>COGS/property</t>
  </si>
  <si>
    <t>Unresolved exposures</t>
  </si>
  <si>
    <t>Buffer factor</t>
  </si>
  <si>
    <t>Research date</t>
  </si>
  <si>
    <t>Known COGS is a priced subtotal, not false precision: the shared VPS invoice allocation and several source-vendor partner/API entitlements remain explicitly unresolved until invoices or written contracts are obtained.</t>
  </si>
  <si>
    <t>Cost ID</t>
  </si>
  <si>
    <t>Layer</t>
  </si>
  <si>
    <t>Vendor / product</t>
  </si>
  <si>
    <t>Status</t>
  </si>
  <si>
    <t>Included in known COGS?</t>
  </si>
  <si>
    <t>What it buys</t>
  </si>
  <si>
    <t>Why / architectural need</t>
  </si>
  <si>
    <t>Billing meter</t>
  </si>
  <si>
    <t>Unit price</t>
  </si>
  <si>
    <t>Selected workload</t>
  </si>
  <si>
    <t>Raw monthly COGS</t>
  </si>
  <si>
    <t>Buffered monthly COGS</t>
  </si>
  <si>
    <t>Cost behavior</t>
  </si>
  <si>
    <t>Payer</t>
  </si>
  <si>
    <t>Deployed now?</t>
  </si>
  <si>
    <t>Recommendation</t>
  </si>
  <si>
    <t>Activation / upgrade trigger</t>
  </si>
  <si>
    <t>Confidence</t>
  </si>
  <si>
    <t>Constraints / notes</t>
  </si>
  <si>
    <t>CF-WORKERS</t>
  </si>
  <si>
    <t>Edge</t>
  </si>
  <si>
    <t>Cloudflare Workers Paid</t>
  </si>
  <si>
    <t>CURRENT / REQUIRED</t>
  </si>
  <si>
    <t>YES</t>
  </si>
  <si>
    <t>Workers account and edge API/control runtime</t>
  </si>
  <si>
    <t>Shared control plane and public endpoints</t>
  </si>
  <si>
    <t>account-month</t>
  </si>
  <si>
    <t>1 account</t>
  </si>
  <si>
    <t>Fixed platform</t>
  </si>
  <si>
    <t>Platform</t>
  </si>
  <si>
    <t>Yes—shared Roam Free capability</t>
  </si>
  <si>
    <t>Keep; allocate once per account</t>
  </si>
  <si>
    <t>Separate client-owned Cloudflare account</t>
  </si>
  <si>
    <t>10M requests and 30M CPU ms included; not $5/client</t>
  </si>
  <si>
    <t>Shared account minimum</t>
  </si>
  <si>
    <t>CF-REQ</t>
  </si>
  <si>
    <t>Workers request overage</t>
  </si>
  <si>
    <t>CURRENT / INCLUDED</t>
  </si>
  <si>
    <t>Dynamic request execution</t>
  </si>
  <si>
    <t>API, webhook and dashboard traffic</t>
  </si>
  <si>
    <t>million requests</t>
  </si>
  <si>
    <t>Usage</t>
  </si>
  <si>
    <t>Yes—usage below allowance</t>
  </si>
  <si>
    <t>Keep</t>
  </si>
  <si>
    <t>&gt;10M dynamic requests/account/month</t>
  </si>
  <si>
    <t>Static assets and subrequests are not separately billed</t>
  </si>
  <si>
    <t>MAX(0, requests−allowance)</t>
  </si>
  <si>
    <t>CF-CPU</t>
  </si>
  <si>
    <t>Workers CPU overage</t>
  </si>
  <si>
    <t>CPU time inside Workers</t>
  </si>
  <si>
    <t>Fast validation, routing and lightweight transforms</t>
  </si>
  <si>
    <t>million CPU ms</t>
  </si>
  <si>
    <t>Modeled; below allowance</t>
  </si>
  <si>
    <t>Keep CPU-heavy work outside Workers</t>
  </si>
  <si>
    <t>Measured CPU or architectural fit failure</t>
  </si>
  <si>
    <t>Long browsers/parsing belong in jobs/containers</t>
  </si>
  <si>
    <t>MAX(0, CPU ms−allowance)</t>
  </si>
  <si>
    <t>CF-QUEUE</t>
  </si>
  <si>
    <t>Cloudflare Queues</t>
  </si>
  <si>
    <t>PLANNED / INCLUDED</t>
  </si>
  <si>
    <t>Durable async job envelopes</t>
  </si>
  <si>
    <t>Decouple sync scheduling from processing</t>
  </si>
  <si>
    <t>million operations</t>
  </si>
  <si>
    <t>No Queue binding found</t>
  </si>
  <si>
    <t>Keep as option; batch by job/page</t>
  </si>
  <si>
    <t>&gt;1M 64KB write/read/delete operations</t>
  </si>
  <si>
    <t>High price / Medium workload</t>
  </si>
  <si>
    <t>One message per property/source/sync; retries and &gt;64KB chunks add operations</t>
  </si>
  <si>
    <t>Do not queue every evidence record</t>
  </si>
  <si>
    <t>CF-LOG</t>
  </si>
  <si>
    <t>Native structured Worker logs</t>
  </si>
  <si>
    <t>Errors, invocation diagnostics and sampled telemetry</t>
  </si>
  <si>
    <t>million events</t>
  </si>
  <si>
    <t>Native capability; selective local config</t>
  </si>
  <si>
    <t>Use included logs; sample/redact</t>
  </si>
  <si>
    <t>&gt;20M events/month or longer retention destination</t>
  </si>
  <si>
    <t>Seven-day retention; no payload logging</t>
  </si>
  <si>
    <t>R2-STORAGE</t>
  </si>
  <si>
    <t>R2 Standard storage</t>
  </si>
  <si>
    <t>TARGET / REQUIRED</t>
  </si>
  <si>
    <t>Immutable source-native evidence objects</t>
  </si>
  <si>
    <t>Raw payloads/files stay outside Postgres and remain rebuildable</t>
  </si>
  <si>
    <t>GB-month</t>
  </si>
  <si>
    <t>Per retained GB</t>
  </si>
  <si>
    <t>Planned; no acceleration R2 binding found</t>
  </si>
  <si>
    <t>Implement with the evidence vault</t>
  </si>
  <si>
    <t>Real-data immutable capture</t>
  </si>
  <si>
    <t>Standard first; IA only from measured cold access</t>
  </si>
  <si>
    <t>Cloudflare rounds billing units up</t>
  </si>
  <si>
    <t>R2-A</t>
  </si>
  <si>
    <t>R2 Class A operations</t>
  </si>
  <si>
    <t>Writes, lists, multipart and lifecycle mutations</t>
  </si>
  <si>
    <t>Capture evidence and manage retention</t>
  </si>
  <si>
    <t>Per operation block</t>
  </si>
  <si>
    <t>Planned</t>
  </si>
  <si>
    <t>Instrument operation verbs and dedupe</t>
  </si>
  <si>
    <t>&gt;1M account-wide A operations/month</t>
  </si>
  <si>
    <t>High price / Low workload</t>
  </si>
  <si>
    <t>Captured event is a proxy, not proof of one write</t>
  </si>
  <si>
    <t>Rounded to started 1M blocks</t>
  </si>
  <si>
    <t>R2-B</t>
  </si>
  <si>
    <t>R2 Class B operations</t>
  </si>
  <si>
    <t>Reads and metadata retrieval</t>
  </si>
  <si>
    <t>Dashboard evidence, export and rebuild reads</t>
  </si>
  <si>
    <t>Track GET/HEAD separately</t>
  </si>
  <si>
    <t>&gt;10M account-wide B operations/month</t>
  </si>
  <si>
    <t>Internet egress is free; IA retrieval is not</t>
  </si>
  <si>
    <t>API requests are only a proxy</t>
  </si>
  <si>
    <t>SB-PRO</t>
  </si>
  <si>
    <t>Data</t>
  </si>
  <si>
    <t>Supabase Pro organization</t>
  </si>
  <si>
    <t>Paid organization, non-pausing projects and pooled allowances</t>
  </si>
  <si>
    <t>Canonical Postgres operating state and product auth/API bundle</t>
  </si>
  <si>
    <t>organization-month</t>
  </si>
  <si>
    <t>Fixed org</t>
  </si>
  <si>
    <t>Platform or client-owned</t>
  </si>
  <si>
    <t>Yes—current shared project</t>
  </si>
  <si>
    <t>Keep; do not call it a dedicated DB charge</t>
  </si>
  <si>
    <t>Separate client-owned organization</t>
  </si>
  <si>
    <t>One $10 compute credit per organization</t>
  </si>
  <si>
    <t>Plan is per org, compute per project</t>
  </si>
  <si>
    <t>SB-COMPUTE</t>
  </si>
  <si>
    <t>Supabase project compute</t>
  </si>
  <si>
    <t>Postgres CPU/RAM/connections/I/O</t>
  </si>
  <si>
    <t>Run canonical queries and ingestion</t>
  </si>
  <si>
    <t>project-month</t>
  </si>
  <si>
    <t>Step-function</t>
  </si>
  <si>
    <t>Micro plausibly fits</t>
  </si>
  <si>
    <t>Start Micro; load test</t>
  </si>
  <si>
    <t>CPU/RAM/IO/connection or DB-size pressure</t>
  </si>
  <si>
    <t>High price / Medium fit</t>
  </si>
  <si>
    <t>Small is $15 and is forced by PITR; credit availability matters</t>
  </si>
  <si>
    <t>Micro $10 / Small $15 / larger steps</t>
  </si>
  <si>
    <t>SB-DB</t>
  </si>
  <si>
    <t>Supabase database overage</t>
  </si>
  <si>
    <t>Database disk above plan allowance</t>
  </si>
  <si>
    <t>Canonical rows, lineage, indexes and operational metadata</t>
  </si>
  <si>
    <t>Per GB</t>
  </si>
  <si>
    <t>Current usage below allowance</t>
  </si>
  <si>
    <t>Keep raw blobs out of Postgres</t>
  </si>
  <si>
    <t>&gt;8GB/project or disk performance pressure</t>
  </si>
  <si>
    <t>Allowance is per project</t>
  </si>
  <si>
    <t>Selected workload is aggregate proxy</t>
  </si>
  <si>
    <t>SB-EGRESS</t>
  </si>
  <si>
    <t>Supabase uncached egress overage</t>
  </si>
  <si>
    <t>Transfer above pooled Pro allowance</t>
  </si>
  <si>
    <t>API/export data leaving Supabase</t>
  </si>
  <si>
    <t>Below allowance</t>
  </si>
  <si>
    <t>Keep payloads compact; use R2 for large exports</t>
  </si>
  <si>
    <t>&gt;250GB uncached organization egress</t>
  </si>
  <si>
    <t>Cached egress has a different meter</t>
  </si>
  <si>
    <t>Organization-wide allowance</t>
  </si>
  <si>
    <t>SB-PITR</t>
  </si>
  <si>
    <t>Recovery</t>
  </si>
  <si>
    <t>Supabase 7-day PITR</t>
  </si>
  <si>
    <t>OPTIONAL / DEFERRED</t>
  </si>
  <si>
    <t>CONDITIONAL</t>
  </si>
  <si>
    <t>Second-level point-in-time database recovery</t>
  </si>
  <si>
    <t>Protect non-rebuildable writes and tighter RPO</t>
  </si>
  <si>
    <t>project-hour</t>
  </si>
  <si>
    <t>Per project</t>
  </si>
  <si>
    <t>Platform or client</t>
  </si>
  <si>
    <t>Not enabled in verified pilot</t>
  </si>
  <si>
    <t>Defer; included daily backups plus replay</t>
  </si>
  <si>
    <t>Non-rebuildable writes or contracted RPO &lt;24h</t>
  </si>
  <si>
    <t>Requires Small; does not back up Storage objects or R2</t>
  </si>
  <si>
    <t>Replaces daily backups</t>
  </si>
  <si>
    <t>RUN-SHARED</t>
  </si>
  <si>
    <t>Existing shared VPS allocation</t>
  </si>
  <si>
    <t>UNRESOLVED / CURRENT</t>
  </si>
  <si>
    <t>NO—UNPRICED</t>
  </si>
  <si>
    <t>Python services, systemd jobs and persistent browser sessions</t>
  </si>
  <si>
    <t>Existing long-running connectors and authenticated Playwright</t>
  </si>
  <si>
    <t>invoice allocation</t>
  </si>
  <si>
    <t>Invoice and measured tenant runtime required</t>
  </si>
  <si>
    <t>Shared fixed</t>
  </si>
  <si>
    <t>Yes—Hostinger VPS</t>
  </si>
  <si>
    <t>Use current runtime; obtain actual invoice</t>
  </si>
  <si>
    <t>Measured capacity or invoice allocation</t>
  </si>
  <si>
    <t>High status / Unknown cost</t>
  </si>
  <si>
    <t>Public prices are not a substitute for the actual invoice</t>
  </si>
  <si>
    <t>Explicitly excluded from known subtotal until verified</t>
  </si>
  <si>
    <t>RUN-DEDICATED</t>
  </si>
  <si>
    <t>Dedicated managed worker</t>
  </si>
  <si>
    <t>NO</t>
  </si>
  <si>
    <t>Isolated always-on Python/Docker worker</t>
  </si>
  <si>
    <t>Client-specific compute isolation or persistent workload</t>
  </si>
  <si>
    <t>service-month</t>
  </si>
  <si>
    <t>0</t>
  </si>
  <si>
    <t>Per dedicated client</t>
  </si>
  <si>
    <t>Client/add-on</t>
  </si>
  <si>
    <t>No</t>
  </si>
  <si>
    <t>Buy only after measured trigger</t>
  </si>
  <si>
    <t>SLA/isolation, OOM, queue lag or client purchase</t>
  </si>
  <si>
    <t>High price / Medium future need</t>
  </si>
  <si>
    <t>$50 supports separate web + worker; no automatic link to Supabase isolation</t>
  </si>
  <si>
    <t>Activated cost, not base</t>
  </si>
  <si>
    <t>NANGO</t>
  </si>
  <si>
    <t>Connector</t>
  </si>
  <si>
    <t>Nango Starter</t>
  </si>
  <si>
    <t>Embedded auth, credential refresh, proxy and optional sync runtime</t>
  </si>
  <si>
    <t>Commodity SaaS OAuth—not core STR semantics</t>
  </si>
  <si>
    <t>platform-month</t>
  </si>
  <si>
    <t>Connection + seven usage meters</t>
  </si>
  <si>
    <t>Platform/users</t>
  </si>
  <si>
    <t>No integration found</t>
  </si>
  <si>
    <t>Defer; direct core STR adapters</t>
  </si>
  <si>
    <t>Supported production OAuth source deliberately routed through Nango</t>
  </si>
  <si>
    <t>Free is for testing; one connection is one authorized account</t>
  </si>
  <si>
    <t>Base share is 0%</t>
  </si>
  <si>
    <t>AI-IN</t>
  </si>
  <si>
    <t>Gemini 2.5 Flash input</t>
  </si>
  <si>
    <t>OPTIONAL / FROZEN MVP</t>
  </si>
  <si>
    <t>Model input processing</t>
  </si>
  <si>
    <t>Later helper/scorecard narrative or extraction</t>
  </si>
  <si>
    <t>million tokens</t>
  </si>
  <si>
    <t>Per token</t>
  </si>
  <si>
    <t>Platform/tenant budget</t>
  </si>
  <si>
    <t>No reachable real-data route</t>
  </si>
  <si>
    <t>Keep $0 in frozen MVP</t>
  </si>
  <si>
    <t>Policy/evals approve measured post-MVP route</t>
  </si>
  <si>
    <t>High price / Low workload confidence</t>
  </si>
  <si>
    <t>Batch is 50% lower; cache hits have separate price</t>
  </si>
  <si>
    <t>Usage estimate, not deployed spend</t>
  </si>
  <si>
    <t>AI-OUT</t>
  </si>
  <si>
    <t>Gemini 2.5 Flash output</t>
  </si>
  <si>
    <t>Generated output and billed thinking</t>
  </si>
  <si>
    <t>Output/reasoning tokens must be metered</t>
  </si>
  <si>
    <t>DOC-LAYOUT</t>
  </si>
  <si>
    <t>Google Document AI Layout Parser</t>
  </si>
  <si>
    <t>OCR plus layout-aware parsing/chunking</t>
  </si>
  <si>
    <t>Later structured document extraction</t>
  </si>
  <si>
    <t>1,000 pages</t>
  </si>
  <si>
    <t>Per page</t>
  </si>
  <si>
    <t>Not deployed</t>
  </si>
  <si>
    <t>Call this document processing, not OCR</t>
  </si>
  <si>
    <t>Documents require layout-aware extraction</t>
  </si>
  <si>
    <t>OCR-only is $1.50/1k pages; Form Parser is $30/1k</t>
  </si>
  <si>
    <t>Processor selection must be explicit</t>
  </si>
  <si>
    <t>CF-ACCESS</t>
  </si>
  <si>
    <t>Identity</t>
  </si>
  <si>
    <t>Cloudflare Access</t>
  </si>
  <si>
    <t>Protected cockpit login</t>
  </si>
  <si>
    <t>Founder and small-client read-only access</t>
  </si>
  <si>
    <t>users</t>
  </si>
  <si>
    <t>Per user after allowance</t>
  </si>
  <si>
    <t>Yes</t>
  </si>
  <si>
    <t>Keep for pilot</t>
  </si>
  <si>
    <t>&gt;50 Access users or product-native account need</t>
  </si>
  <si>
    <t>Free through 50 users</t>
  </si>
  <si>
    <t>Authentication is implemented even though incremental COGS is $0</t>
  </si>
  <si>
    <t>SB-AUTH</t>
  </si>
  <si>
    <t>Supabase Auth</t>
  </si>
  <si>
    <t>AVAILABLE / INCLUDED</t>
  </si>
  <si>
    <t>Product-native accounts, JWTs and basic MFA</t>
  </si>
  <si>
    <t>Future external client portal login</t>
  </si>
  <si>
    <t>monthly active users</t>
  </si>
  <si>
    <t>Not cockpit auth today</t>
  </si>
  <si>
    <t>Use before WorkOS for initial portal</t>
  </si>
  <si>
    <t>&gt;100k MAU or enterprise lifecycle requirements</t>
  </si>
  <si>
    <t>Included in Pro allowances</t>
  </si>
  <si>
    <t>No incremental pilot charge</t>
  </si>
  <si>
    <t>WORKOS-SSO</t>
  </si>
  <si>
    <t>WorkOS Enterprise SSO</t>
  </si>
  <si>
    <t>One enterprise SAML/OIDC connection</t>
  </si>
  <si>
    <t>Enterprise customer identity integration</t>
  </si>
  <si>
    <t>connection-month</t>
  </si>
  <si>
    <t>Per connection</t>
  </si>
  <si>
    <t>Client add-on</t>
  </si>
  <si>
    <t>Defer and pass through</t>
  </si>
  <si>
    <t>Signed enterprise SSO requirement</t>
  </si>
  <si>
    <t>Directory Sync is another $125/connection; domain/audit/SIEM separate</t>
  </si>
  <si>
    <t>Do not bury enterprise identity in base</t>
  </si>
  <si>
    <t>SENTRY</t>
  </si>
  <si>
    <t>Observability</t>
  </si>
  <si>
    <t>Sentry Team</t>
  </si>
  <si>
    <t>Shared error triage, logs, spans and alerts</t>
  </si>
  <si>
    <t>Production error diagnosis</t>
  </si>
  <si>
    <t>plan-month</t>
  </si>
  <si>
    <t>Shared fixed + usage</t>
  </si>
  <si>
    <t>No SDK/config found</t>
  </si>
  <si>
    <t>Use free/native logs first</t>
  </si>
  <si>
    <t>Multiple operators, &gt;5k errors or &gt;30d history</t>
  </si>
  <si>
    <t>Developer plan is sufficient for founder pilot</t>
  </si>
  <si>
    <t>Self-hosting is uneconomic at pilot scale</t>
  </si>
  <si>
    <t>LANGFUSE</t>
  </si>
  <si>
    <t>Langfuse Core</t>
  </si>
  <si>
    <t>AI traces, prompt versions, token/cost and evaluations</t>
  </si>
  <si>
    <t>Compare recurring production model behavior</t>
  </si>
  <si>
    <t>Shared fixed + units</t>
  </si>
  <si>
    <t>Use Hobby only after AI route exists</t>
  </si>
  <si>
    <t>&gt;50k units, &gt;2 users or &gt;30d history</t>
  </si>
  <si>
    <t>Heavy/Pro sensitivity is $199; each trace/observation/score can be a unit</t>
  </si>
  <si>
    <t>Not required for deterministic MVP</t>
  </si>
  <si>
    <t>EMAIL</t>
  </si>
  <si>
    <t>OPTIONAL / FREE</t>
  </si>
  <si>
    <t>Auth and operational email delivery</t>
  </si>
  <si>
    <t>External portal login/reset and notifications</t>
  </si>
  <si>
    <t>Shared fixed + volume</t>
  </si>
  <si>
    <t>No acceleration outbound provider</t>
  </si>
  <si>
    <t>Start Resend Free</t>
  </si>
  <si>
    <t>&gt;100/day, multiple domains or support requirement</t>
  </si>
  <si>
    <t>Pro is $20/50k; default Supabase SMTP is not production</t>
  </si>
  <si>
    <t>No fixed pilot charge</t>
  </si>
  <si>
    <t>SMS</t>
  </si>
  <si>
    <t>SMS notifications</t>
  </si>
  <si>
    <t>Critical text alerts</t>
  </si>
  <si>
    <t>Only explicit client or authentication need</t>
  </si>
  <si>
    <t>outgoing segment</t>
  </si>
  <si>
    <t>Per message + registration</t>
  </si>
  <si>
    <t>Platform/client</t>
  </si>
  <si>
    <t>Existing Quo elsewhere; not platform dependency</t>
  </si>
  <si>
    <t>Prefer email/TOTP</t>
  </si>
  <si>
    <t>Explicit SMS requirement</t>
  </si>
  <si>
    <t>Dedicated Twilio number/A2P has separate fees</t>
  </si>
  <si>
    <t>DOMAIN</t>
  </si>
  <si>
    <t>Domain and DNS</t>
  </si>
  <si>
    <t>DNS and pilot subdomain</t>
  </si>
  <si>
    <t>Reach the web surface</t>
  </si>
  <si>
    <t>query/month</t>
  </si>
  <si>
    <t>Fixed domain renewal</t>
  </si>
  <si>
    <t>Cloudflare DNS current</t>
  </si>
  <si>
    <t>Use existing subdomain</t>
  </si>
  <si>
    <t>New brand/TLD selected</t>
  </si>
  <si>
    <t>Exact new-domain renewal depends on TLD</t>
  </si>
  <si>
    <t>SUPPORT</t>
  </si>
  <si>
    <t>Support/chat software</t>
  </si>
  <si>
    <t>Shared inbox, assignment and history</t>
  </si>
  <si>
    <t>Operationalize support after one-client email stops scaling</t>
  </si>
  <si>
    <t>assisted contacts</t>
  </si>
  <si>
    <t>No support platform found</t>
  </si>
  <si>
    <t>Use email or Help Scout Free</t>
  </si>
  <si>
    <t>&gt;100 assisted contacts/month or SLA workflows</t>
  </si>
  <si>
    <t>Human support labor is excluded</t>
  </si>
  <si>
    <t>STRIPE</t>
  </si>
  <si>
    <t>Stripe payment processing</t>
  </si>
  <si>
    <t>REVENUE-DEPENDENT</t>
  </si>
  <si>
    <t>Collect invoices/subscriptions</t>
  </si>
  <si>
    <t>Payment processing after monetization</t>
  </si>
  <si>
    <t>collected revenue</t>
  </si>
  <si>
    <t>Percent of receipts</t>
  </si>
  <si>
    <t>Platform receipts</t>
  </si>
  <si>
    <t>Stripe exists for Roam Free, not proven for product billing</t>
  </si>
  <si>
    <t>Prefer ACH for B2B</t>
  </si>
  <si>
    <t>First collected platform invoice</t>
  </si>
  <si>
    <t>ACH 0.8% capped $5; cards 2.9%+$0.30; Billing +0.7%</t>
  </si>
  <si>
    <t>Formula belongs to revenue collection, not a $25 placeholder</t>
  </si>
  <si>
    <t>SRC-OWNERREZ</t>
  </si>
  <si>
    <t>Source access</t>
  </si>
  <si>
    <t>OwnerRez API entitlement</t>
  </si>
  <si>
    <t>CLIENT-PAID / CONDITIONAL</t>
  </si>
  <si>
    <t>Client-authorized PMS data</t>
  </si>
  <si>
    <t>Core direct adapter where client uses OwnerRez</t>
  </si>
  <si>
    <t>client subscription/add-on</t>
  </si>
  <si>
    <t>Per client/property add-on</t>
  </si>
  <si>
    <t>Client/pass-through</t>
  </si>
  <si>
    <t>Direct adapter exists elsewhere</t>
  </si>
  <si>
    <t>Keep client-owned; verify endpoint entitlement</t>
  </si>
  <si>
    <t>Listing Content API specifically required</t>
  </si>
  <si>
    <t>Medium</t>
  </si>
  <si>
    <t>$152 is only the 120-property Listing Content add-on example—not base API</t>
  </si>
  <si>
    <t>Never silently absorb client SaaS</t>
  </si>
  <si>
    <t>SRC-STREAMLINE</t>
  </si>
  <si>
    <t>Streamline Partner X / API rights</t>
  </si>
  <si>
    <t>UNRESOLVED / CONTRACT GATE</t>
  </si>
  <si>
    <t>Authorized LTA PMS data</t>
  </si>
  <si>
    <t>Likely primary external LTA source</t>
  </si>
  <si>
    <t>quote/partner agreement</t>
  </si>
  <si>
    <t>Written entitlement required</t>
  </si>
  <si>
    <t>Contract step</t>
  </si>
  <si>
    <t>Current LTA capture uses browser/admin path</t>
  </si>
  <si>
    <t>Block production connector until written rights</t>
  </si>
  <si>
    <t>API rights, quota, retention and partner fee documented</t>
  </si>
  <si>
    <t>No public partner fee/quota/webhook SLA</t>
  </si>
  <si>
    <t>Not assumed $0; excluded as unresolved</t>
  </si>
  <si>
    <t>SRC-BREEZEWAY</t>
  </si>
  <si>
    <t>Breezeway Partner API</t>
  </si>
  <si>
    <t>Operations/tasks/property data</t>
  </si>
  <si>
    <t>Direct core STR adapter</t>
  </si>
  <si>
    <t>client subscription/partner grant</t>
  </si>
  <si>
    <t>Partner access proven for Roam Free only</t>
  </si>
  <si>
    <t>Keep direct; verify multi-client rights</t>
  </si>
  <si>
    <t>Portfolio/company scopes and fees documented</t>
  </si>
  <si>
    <t>Pricing quote-based at 5+ properties</t>
  </si>
  <si>
    <t>SRC-CHANNEL</t>
  </si>
  <si>
    <t>Airbnb / Vrbo direct partner access</t>
  </si>
  <si>
    <t>UNRESOLVED / DEFERRED</t>
  </si>
  <si>
    <t>Direct channel data</t>
  </si>
  <si>
    <t>Only if PMS-derived data is insufficient</t>
  </si>
  <si>
    <t>partner agreement</t>
  </si>
  <si>
    <t>Written partner-specific terms required</t>
  </si>
  <si>
    <t>Contract/legal gate</t>
  </si>
  <si>
    <t>No direct platform contract</t>
  </si>
  <si>
    <t>Prefer PMS-provided channel data</t>
  </si>
  <si>
    <t>Written data retention/derivation/redistribution rights</t>
  </si>
  <si>
    <t>High risk / Unknown cost</t>
  </si>
  <si>
    <t>Public API price/quota unavailable; direct terms may conflict with canonical retention</t>
  </si>
  <si>
    <t>SRC-CONDUIT</t>
  </si>
  <si>
    <t>Conduit AI</t>
  </si>
  <si>
    <t>CLIENT-PAID</t>
  </si>
  <si>
    <t>Guest communications and knowledge surface</t>
  </si>
  <si>
    <t>Potential consumer/source—not base platform infrastructure</t>
  </si>
  <si>
    <t>client workspace-month</t>
  </si>
  <si>
    <t>Per client/listing tier</t>
  </si>
  <si>
    <t>Client</t>
  </si>
  <si>
    <t>Used in surrounding workflows</t>
  </si>
  <si>
    <t>Exclude unless bundled/resold</t>
  </si>
  <si>
    <t>Commercial decision to bundle Conduit</t>
  </si>
  <si>
    <t>Growth is $1,499 through 120 listings</t>
  </si>
  <si>
    <t>Client SaaS, not our COGS</t>
  </si>
  <si>
    <t>SRC-PRICELABS</t>
  </si>
  <si>
    <t>PriceLabs Customer API</t>
  </si>
  <si>
    <t>OPTIONAL / CLIENT-PAID</t>
  </si>
  <si>
    <t>Direct pricing data access</t>
  </si>
  <si>
    <t>Only if PMS-delivered rates are insufficient</t>
  </si>
  <si>
    <t>listing-month</t>
  </si>
  <si>
    <t>Per listing</t>
  </si>
  <si>
    <t>No proven platform contract</t>
  </si>
  <si>
    <t>Read rates through PMS first</t>
  </si>
  <si>
    <t>Direct PriceLabs API deliberately selected</t>
  </si>
  <si>
    <t>$120/month at 120 listings when activated</t>
  </si>
  <si>
    <t>Client API add-on, not base</t>
  </si>
  <si>
    <t>SRC-COMMODITY</t>
  </si>
  <si>
    <t>Notion / Google / Slack APIs</t>
  </si>
  <si>
    <t>CLIENT-PAID / INCLUDED</t>
  </si>
  <si>
    <t>Commodity collaboration data</t>
  </si>
  <si>
    <t>Optional helper sources and destinations</t>
  </si>
  <si>
    <t>client subscription/API quota</t>
  </si>
  <si>
    <t>Quota-driven</t>
  </si>
  <si>
    <t>Existing surrounding integrations</t>
  </si>
  <si>
    <t>Use client-authorized quotas</t>
  </si>
  <si>
    <t>Quota or Marketplace/distribution pressure</t>
  </si>
  <si>
    <t>Google Drive excess charging is announced for later 2026; monitor</t>
  </si>
  <si>
    <t>No current incremental base charge</t>
  </si>
  <si>
    <t>SRC-REVA</t>
  </si>
  <si>
    <t>RevA / Reva</t>
  </si>
  <si>
    <t>UNRESOLVED / VENDOR IDENTITY</t>
  </si>
  <si>
    <t>Unknown source capability</t>
  </si>
  <si>
    <t>Cannot cost until vendor/product is identified</t>
  </si>
  <si>
    <t>unknown</t>
  </si>
  <si>
    <t>Discovery required</t>
  </si>
  <si>
    <t>Unknown</t>
  </si>
  <si>
    <t>Not proven</t>
  </si>
  <si>
    <t>Defer</t>
  </si>
  <si>
    <t>Vendor identity, license, API/export and retention terms</t>
  </si>
  <si>
    <t>No stable official source confidently tied to local module</t>
  </si>
  <si>
    <t>KNOWN RAW SOFTWARE COGS</t>
  </si>
  <si>
    <t>OPERATIONAL + VENDOR CONTINGENCY</t>
  </si>
  <si>
    <t>BUFFERED KNOWN SOFTWARE COGS</t>
  </si>
  <si>
    <t>UNRESOLVED EXPOSURE COUNT</t>
  </si>
  <si>
    <t>Named Examples and Portfolio Tiers</t>
  </si>
  <si>
    <t>Vendor and infrastructure COGS only. Roam Free and LTA are synthetic shapes; Taylor allocates labor, onboarding, founder salary and service overhead separately.</t>
  </si>
  <si>
    <t>Scenario</t>
  </si>
  <si>
    <t>Clients</t>
  </si>
  <si>
    <t>SSO share</t>
  </si>
  <si>
    <t>Base fee/client</t>
  </si>
  <si>
    <t>Fee/property</t>
  </si>
  <si>
    <t>Buffered software/vendor COGS</t>
  </si>
  <si>
    <t>Owner labor allocation (excluded)</t>
  </si>
  <si>
    <t>Total software COGS</t>
  </si>
  <si>
    <t>Candidate revenue</t>
  </si>
  <si>
    <t>Software GM</t>
  </si>
  <si>
    <t>Owner-adjusted margin (not modeled)</t>
  </si>
  <si>
    <t>Software pricing floor</t>
  </si>
  <si>
    <t>Software COGS/property</t>
  </si>
  <si>
    <t>Software COGS/client</t>
  </si>
  <si>
    <t>Owner onboarding allocation</t>
  </si>
  <si>
    <t>Owner onboarding price</t>
  </si>
  <si>
    <t>Decision note</t>
  </si>
  <si>
    <t>Roam Free proving tenant</t>
  </si>
  <si>
    <t>Economical</t>
  </si>
  <si>
    <t>Pilot economics are distorted by one-client fixed-cost allocation; measure, do not price from it. Software COGS excludes owner labor and overhead.</t>
  </si>
  <si>
    <t>LTA current read-only pilot</t>
  </si>
  <si>
    <t>Verified known-cost view: shared Pro/Micro, R2 target evidence plane, no PITR/Nango/AI/paid telemetry. Shared VPS and partner/API entitlements remain unresolved in COGS Matrix.</t>
  </si>
  <si>
    <t>25-property utility client</t>
  </si>
  <si>
    <t>Minimal</t>
  </si>
  <si>
    <t>Requires self-service onboarding and strict support cap. Software COGS excludes owner labor and overhead.</t>
  </si>
  <si>
    <t>100-property utility client</t>
  </si>
  <si>
    <t>Standard</t>
  </si>
  <si>
    <t>Low-cost pole works if human exceptions stay near platform assumptions. Software COGS excludes owner labor and overhead.</t>
  </si>
  <si>
    <t>500 properties / 5 clients</t>
  </si>
  <si>
    <t>Fixed costs amortize; connector and support discipline matter more than Workers. Software COGS excludes owner labor and overhead.</t>
  </si>
  <si>
    <t>2,000 properties / 20 clients</t>
  </si>
  <si>
    <t>Security and support processes become formal; consider Supabase Team only when buyer need appears. Software COGS excludes owner labor and overhead.</t>
  </si>
  <si>
    <t>10,000 properties / 100 clients</t>
  </si>
  <si>
    <t>Aggressive</t>
  </si>
  <si>
    <t>Heavy</t>
  </si>
  <si>
    <t>AI, SSO, support and source quotas dominate; enforce pass-through budgets and cadence tiers. Software COGS excludes owner labor and overhead.</t>
  </si>
  <si>
    <t>Required Property x Client Matrix</t>
  </si>
  <si>
    <t>Base software/vendor infrastructure case only. Labor, onboarding, founder time and service overhead are excluded.</t>
  </si>
  <si>
    <t>Base fee</t>
  </si>
  <si>
    <t>Owner Labor and Onboarding Allocation — Excluded from Software COGS</t>
  </si>
  <si>
    <t>This workbook does not assign human overhead. Taylor sets implementation, founder-time and service economics separately.</t>
  </si>
  <si>
    <t>Scope</t>
  </si>
  <si>
    <t>Model treatment</t>
  </si>
  <si>
    <t>Onboarding / implementation</t>
  </si>
  <si>
    <t>Owner allocated</t>
  </si>
  <si>
    <t>Excluded from software COGS and pricing floors.</t>
  </si>
  <si>
    <t>Recurring service labor</t>
  </si>
  <si>
    <t>Founder salary and overhead</t>
  </si>
  <si>
    <t>Software COGS Gross-Margin Sensitivity</t>
  </si>
  <si>
    <t>Software/vendor infrastructure only. Commercial price, founder labor and service margin are owner decisions outside this model.</t>
  </si>
  <si>
    <t>Target software GM</t>
  </si>
  <si>
    <t>Owner target margin (not modeled)</t>
  </si>
  <si>
    <t>Software floor</t>
  </si>
  <si>
    <t>Owner service floor (not modeled)</t>
  </si>
  <si>
    <t>Selected software floor</t>
  </si>
  <si>
    <t>Software floor only; Taylor allocates labor, onboarding and commercial risk separately.</t>
  </si>
  <si>
    <t>Bottleneck Thresholds and Upgrade Triggers</t>
  </si>
  <si>
    <t>Upgrade on measured saturation, risk or contract requirements. Do not treat a vendor plan limit as a roadmap milestone.</t>
  </si>
  <si>
    <t>Plane</t>
  </si>
  <si>
    <t>Current/default</t>
  </si>
  <si>
    <t>Measured trigger</t>
  </si>
  <si>
    <t>Rough public threshold</t>
  </si>
  <si>
    <t>Recommended action</t>
  </si>
  <si>
    <t>Economic risk</t>
  </si>
  <si>
    <t>Instrumentation now</t>
  </si>
  <si>
    <t>Source</t>
  </si>
  <si>
    <t>Source APIs</t>
  </si>
  <si>
    <t>Webhooks + economical polling</t>
  </si>
  <si>
    <t>429s, freshness misses, partner-scope denial</t>
  </si>
  <si>
    <t>OwnerRez 300 requests/5 min/IP; Airbnb/OTA scopes partner-governed</t>
  </si>
  <si>
    <t>Queue, cache full webhook payloads, source-specific cadence and partner path</t>
  </si>
  <si>
    <t>First likely technical bottleneck</t>
  </si>
  <si>
    <t>requests, 429s, retry-after, cursor lag, webhook gaps</t>
  </si>
  <si>
    <t>https://www.ownerrez.com/support/articles/api-rate-limiting</t>
  </si>
  <si>
    <t>Human exceptions</t>
  </si>
  <si>
    <t>Manual onboarding and QA</t>
  </si>
  <si>
    <t>&gt;0.5 platform hr/client/mo or &gt;0.01 hr/property/mo</t>
  </si>
  <si>
    <t>Internal economic gate</t>
  </si>
  <si>
    <t>Productize repeated mappings; cap support; bill exceptions</t>
  </si>
  <si>
    <t>First likely economic bottleneck</t>
  </si>
  <si>
    <t>time by client/source/reason, handoffs, rework</t>
  </si>
  <si>
    <t>Internal model assumption</t>
  </si>
  <si>
    <t>Cloudflare Workers</t>
  </si>
  <si>
    <t>Paid Standard</t>
  </si>
  <si>
    <t>p95 CPU or request limits, sustained &gt;10M req or &gt;30M CPU ms</t>
  </si>
  <si>
    <t>10M requests and 30M CPU ms included</t>
  </si>
  <si>
    <t>Tune/cache; split CPU-heavy jobs; paid overage is cheap</t>
  </si>
  <si>
    <t>Low early risk</t>
  </si>
  <si>
    <t>requests, CPU ms, failures, subrequest latency</t>
  </si>
  <si>
    <t>Supabase compute</t>
  </si>
  <si>
    <t>Pro Micro/Small</t>
  </si>
  <si>
    <t>CPU &gt;60%, RAM/IO saturation, slow queries</t>
  </si>
  <si>
    <t>Micro ~$10; Small ~$15; Medium ~$60</t>
  </si>
  <si>
    <t>Scale compute; index; move raw blobs to R2; replica only for proven read load</t>
  </si>
  <si>
    <t>Idle/project step costs dominate before storage</t>
  </si>
  <si>
    <t>CPU, RAM, IO, connections, DB size, query time</t>
  </si>
  <si>
    <t>Supabase plan</t>
  </si>
  <si>
    <t>Buyer needs SOC/ISO reports, longer logs, project roles</t>
  </si>
  <si>
    <t>Team starts $599/month</t>
  </si>
  <si>
    <t>Upgrade for contract/security, not property count</t>
  </si>
  <si>
    <t>Step-function margin hit</t>
  </si>
  <si>
    <t>security questionnaire fields, log retention needs</t>
  </si>
  <si>
    <t>Daily backup</t>
  </si>
  <si>
    <t>RPO &lt;24h or production writes</t>
  </si>
  <si>
    <t>7-day PITR ~$100/project/month</t>
  </si>
  <si>
    <t>Enable per premium/dedicated client before risky writes</t>
  </si>
  <si>
    <t>$100/client idle add-on</t>
  </si>
  <si>
    <t>RPO/RTO, restore duration, drill results</t>
  </si>
  <si>
    <t>Direct core adapters; optional commodity auth</t>
  </si>
  <si>
    <t>&gt;20 commodity connections or token-refresh toil</t>
  </si>
  <si>
    <t>Starter from $50, then $1/connection</t>
  </si>
  <si>
    <t>Use for commodity auth only; keep canonical connector logic ours</t>
  </si>
  <si>
    <t>Floor hurts small portfolios</t>
  </si>
  <si>
    <t>connections, refresh failures, proxy requests, engineering hours</t>
  </si>
  <si>
    <t>Merge/Prismatic</t>
  </si>
  <si>
    <t>Deferred</t>
  </si>
  <si>
    <t>Customer demand for supported category and quote passes unit test</t>
  </si>
  <si>
    <t>Merge $650 up to 10; Prismatic quote</t>
  </si>
  <si>
    <t>Buy only with pass-through/add-on pricing and migration rights</t>
  </si>
  <si>
    <t>Dangerous per-linked-account economics</t>
  </si>
  <si>
    <t>linked accounts, ARR attached, avoided engineering hours</t>
  </si>
  <si>
    <t>Minimal/standard routing</t>
  </si>
  <si>
    <t>Tenant exceeds token budget or agent retries &gt;10%</t>
  </si>
  <si>
    <t>Model rates per MTok; no platform allowance</t>
  </si>
  <si>
    <t>Budget per tenant/use; batch/caching; BYOM; stop retry loops</t>
  </si>
  <si>
    <t>First variable vendor cost in heavy-agent scenario</t>
  </si>
  <si>
    <t>input/output/cache/reasoning tokens, model, tool calls, retries</t>
  </si>
  <si>
    <t>Sentry Team + OTel sampling</t>
  </si>
  <si>
    <t>&gt;5GB logs, &gt;5M spans, cardinality explosion</t>
  </si>
  <si>
    <t>Sentry Team $26; logs +$0.50/GB</t>
  </si>
  <si>
    <t>Sample; redact; aggregate metrics; short hot retention; export raw incidents</t>
  </si>
  <si>
    <t>Can silently exceed AI cost</t>
  </si>
  <si>
    <t>events/GB/spans by tenant and attribute cardinality</t>
  </si>
  <si>
    <t>Local models</t>
  </si>
  <si>
    <t>Restricted data or sustained utilization beats API and ops cost</t>
  </si>
  <si>
    <t>RTX PRO 6000 GPU $13,250 before host/power</t>
  </si>
  <si>
    <t>Pilot on client/BYO hardware; amortize over 36 months; keep API fallback</t>
  </si>
  <si>
    <t>Idle capital and specialist ops</t>
  </si>
  <si>
    <t>GPU utilization, tokens/sec, queue wait, power, failures</t>
  </si>
  <si>
    <t>Software COGS Model QA and Review Gate</t>
  </si>
  <si>
    <t>All automated checks must pass after recalculation. Owner labor and overhead must remain excluded.</t>
  </si>
  <si>
    <t>Check</t>
  </si>
  <si>
    <t>Formula / method</t>
  </si>
  <si>
    <t>Result</t>
  </si>
  <si>
    <t>Reviewer note</t>
  </si>
  <si>
    <t>No negative COGS</t>
  </si>
  <si>
    <t>Vendor, human and loaded COGS must be non-negative.</t>
  </si>
  <si>
    <t>Software COGS reconciles</t>
  </si>
  <si>
    <t>Total software COGS must equal buffered vendor/infrastructure COGS.</t>
  </si>
  <si>
    <t>Software pricing floor covers COGS</t>
  </si>
  <si>
    <t>Every software pricing floor must exceed software COGS.</t>
  </si>
  <si>
    <t>Operational buffer &gt;=20%</t>
  </si>
  <si>
    <t>Separate vendor contingency is also applied.</t>
  </si>
  <si>
    <t>Vendor contingency separate</t>
  </si>
  <si>
    <t>Not embedded inside the operational buffer.</t>
  </si>
  <si>
    <t>Roam Free properties shape</t>
  </si>
  <si>
    <t>Synthetic portfolio shape only.</t>
  </si>
  <si>
    <t>LTA properties shape</t>
  </si>
  <si>
    <t>No real client data used.</t>
  </si>
  <si>
    <t>Owner labor excluded</t>
  </si>
  <si>
    <t>Must equal zero; Taylor allocates separately.</t>
  </si>
  <si>
    <t>Source fidelity</t>
  </si>
  <si>
    <t>Official URLs in Vendor Pricing and Bottlenecks</t>
  </si>
  <si>
    <t>Quote-only and estimates labeled; prices dated.</t>
  </si>
  <si>
    <t>Manual independent review</t>
  </si>
  <si>
    <t>Architecture fit</t>
  </si>
  <si>
    <t>Compared with current pre-production docs and deployed Roam Free surfaces</t>
  </si>
  <si>
    <t>Cloudflare is an existing capability, not a deployed acceleration-platform runtime.</t>
  </si>
  <si>
    <t>COGS Matrix raw ties to calculator</t>
  </si>
  <si>
    <t>COGS Matrix buffered ties to calculator</t>
  </si>
  <si>
    <t>Verified LTA known raw subtotal</t>
  </si>
  <si>
    <t>Human/service costs excluded</t>
  </si>
  <si>
    <t>Unresolved exposures remain visible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</si>
</sst>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\(#,##0.00\);\-"/>
    <numFmt numFmtId="165" formatCode="0.0%"/>
    <numFmt numFmtId="166" formatCode="\$#,##0.00;\(\$#,##0.00\);\-"/>
    <numFmt numFmtId="167" formatCode="\$#,##0;\(\$#,##0\);\-"/>
    <numFmt numFmtId="168" formatCode="0.00\x"/>
    <numFmt numFmtId="169" formatCode="#,##0;\(#,##0\);\-"/>
    <numFmt numFmtId="170" formatCode="yyyy\-mm\-dd"/>
    <numFmt numFmtId="171" formatCode="0.0%;\(0.0%\);\-"/>
  </numFmts>
  <fonts count="18" x14ac:knownFonts="1">
    <font>
      <sz val="11"/>
      <color theme="1"/>
      <name val="Calibri"/>
      <family val="2"/>
      <scheme val="minor"/>
    </font>
    <font>
      <b/>
      <sz val="16"/>
      <color rgb="FFFFFFFF"/>
      <name val="Arial"/>
    </font>
    <font>
      <i/>
      <sz val="9"/>
      <color rgb="FF555555"/>
      <name val="Arial"/>
    </font>
    <font>
      <b/>
      <sz val="9"/>
      <color rgb="FFFFFFFF"/>
      <name val="Arial"/>
    </font>
    <font>
      <sz val="9"/>
      <color rgb="FF000000"/>
      <name val="Arial"/>
    </font>
    <font>
      <sz val="12"/>
      <color theme="10"/>
      <name val="Calibri"/>
      <family val="2"/>
      <scheme val="minor"/>
    </font>
    <font>
      <sz val="9"/>
      <color rgb="FF000000"/>
      <name val="Arial"/>
    </font>
    <font>
      <b/>
      <sz val="16"/>
      <color rgb="FFFFFFFF"/>
      <name val="Arial"/>
    </font>
    <font>
      <sz val="9"/>
      <color rgb="FF44546A"/>
      <name val="Arial"/>
    </font>
    <font>
      <b/>
      <sz val="9"/>
      <color rgb="FF17365D"/>
      <name val="Arial"/>
    </font>
    <font>
      <sz val="9"/>
      <color rgb="FF17365D"/>
      <name val="Arial"/>
    </font>
    <font>
      <b/>
      <sz val="9"/>
      <color rgb="FF7F6000"/>
      <name val="Arial"/>
    </font>
    <font>
      <b/>
      <sz val="9"/>
      <color rgb="FFFFFFFF"/>
      <name val="Arial"/>
    </font>
    <font>
      <sz val="8.5"/>
      <color rgb="FF000000"/>
      <name val="Arial"/>
    </font>
    <font>
      <b/>
      <sz val="8.5"/>
      <color rgb="FF17365D"/>
      <name val="Arial"/>
    </font>
    <font>
      <sz val="8.5"/>
      <color rgb="FF0000FF"/>
      <name val="Arial"/>
    </font>
    <font>
      <sz val="8.5"/>
      <color rgb="FF008000"/>
      <name val="Arial"/>
    </font>
    <font>
      <sz val="9"/>
      <color rgb="FF0000FF"/>
      <name val="Arial"/>
    </font>
  </fonts>
  <fills count="11">
    <fill>
      <patternFill patternType="none"/>
    </fill>
    <fill>
      <patternFill patternType="gray125"/>
    </fill>
    <fill>
      <patternFill patternType="solid">
        <fgColor rgb="FF17365D"/>
      </patternFill>
    </fill>
    <fill>
      <patternFill patternType="solid">
        <fgColor rgb="FFFFF2CC"/>
      </patternFill>
    </fill>
    <fill>
      <patternFill patternType="solid">
        <fgColor rgb="FF17365D"/>
      </patternFill>
    </fill>
    <fill>
      <patternFill patternType="solid">
        <fgColor rgb="FFEAF2F8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FCE4D6"/>
      </patternFill>
    </fill>
    <fill>
      <patternFill patternType="solid">
        <fgColor rgb="FFE7E6E6"/>
      </patternFill>
    </fill>
    <fill>
      <patternFill patternType="solid">
        <fgColor rgb="FF1F4E78"/>
      </patternFill>
    </fill>
  </fills>
  <borders count="3">
    <border>
      <left/>
      <right/>
      <top/>
      <bottom/>
      <diagonal/>
    </border>
    <border>
      <left/>
      <right/>
      <top/>
      <bottom style="thin">
        <color rgb="FFB7B7B7"/>
      </bottom>
      <diagonal/>
    </border>
    <border>
      <left/>
      <right/>
      <top/>
      <bottom style="thin">
        <color rgb="FFD9E2F3"/>
      </bottom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4" fillId="3" borderId="0" xfId="0" applyFont="1" applyFill="1" applyAlignment="1">
      <alignment vertical="top" wrapText="1"/>
    </xf>
    <xf numFmtId="165" fontId="4" fillId="0" borderId="0" xfId="0" applyNumberFormat="1" applyFont="1" applyAlignment="1">
      <alignment vertical="top" wrapText="1"/>
    </xf>
    <xf numFmtId="166" fontId="4" fillId="0" borderId="0" xfId="0" applyNumberFormat="1" applyFont="1" applyAlignment="1">
      <alignment vertical="top" wrapText="1"/>
    </xf>
    <xf numFmtId="0" fontId="4" fillId="0" borderId="0" xfId="1" applyFont="1" applyAlignment="1">
      <alignment vertical="top" wrapText="1"/>
    </xf>
    <xf numFmtId="165" fontId="4" fillId="3" borderId="0" xfId="0" applyNumberFormat="1" applyFont="1" applyFill="1" applyAlignment="1">
      <alignment vertical="top" wrapText="1"/>
    </xf>
    <xf numFmtId="167" fontId="4" fillId="3" borderId="0" xfId="0" applyNumberFormat="1" applyFont="1" applyFill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167" fontId="4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166" fontId="6" fillId="0" borderId="0" xfId="0" applyNumberFormat="1" applyFont="1" applyAlignment="1">
      <alignment vertical="top" wrapText="1"/>
    </xf>
    <xf numFmtId="165" fontId="6" fillId="0" borderId="0" xfId="0" applyNumberFormat="1" applyFont="1" applyAlignment="1">
      <alignment vertical="top" wrapText="1"/>
    </xf>
    <xf numFmtId="167" fontId="6" fillId="0" borderId="0" xfId="0" applyNumberFormat="1" applyFont="1" applyAlignment="1">
      <alignment vertical="top" wrapText="1"/>
    </xf>
    <xf numFmtId="0" fontId="6" fillId="0" borderId="0" xfId="0" applyFont="1"/>
    <xf numFmtId="0" fontId="12" fillId="4" borderId="2" xfId="0" applyFont="1" applyFill="1" applyBorder="1" applyAlignment="1">
      <alignment vertical="center" wrapText="1"/>
    </xf>
    <xf numFmtId="0" fontId="17" fillId="0" borderId="0" xfId="0" applyFont="1" applyAlignment="1">
      <alignment vertical="top"/>
    </xf>
    <xf numFmtId="0" fontId="5" fillId="0" borderId="0" xfId="1"/>
    <xf numFmtId="169" fontId="6" fillId="0" borderId="0" xfId="0" applyNumberFormat="1" applyFont="1" applyAlignment="1">
      <alignment vertical="top" wrapText="1"/>
    </xf>
    <xf numFmtId="171" fontId="6" fillId="0" borderId="0" xfId="0" applyNumberFormat="1" applyFont="1" applyAlignment="1">
      <alignment vertical="top" wrapText="1"/>
    </xf>
    <xf numFmtId="0" fontId="9" fillId="5" borderId="0" xfId="0" applyFont="1" applyFill="1" applyAlignment="1">
      <alignment vertical="center" wrapText="1"/>
    </xf>
    <xf numFmtId="0" fontId="10" fillId="5" borderId="0" xfId="0" applyFont="1" applyFill="1" applyAlignment="1">
      <alignment vertical="center" wrapText="1"/>
    </xf>
    <xf numFmtId="166" fontId="10" fillId="5" borderId="0" xfId="0" applyNumberFormat="1" applyFont="1" applyFill="1" applyAlignment="1">
      <alignment vertical="center" wrapText="1"/>
    </xf>
    <xf numFmtId="168" fontId="10" fillId="5" borderId="0" xfId="0" applyNumberFormat="1" applyFont="1" applyFill="1" applyAlignment="1">
      <alignment vertical="center" wrapText="1"/>
    </xf>
    <xf numFmtId="0" fontId="14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3" fillId="7" borderId="2" xfId="0" applyFont="1" applyFill="1" applyBorder="1" applyAlignment="1">
      <alignment vertical="top" wrapText="1"/>
    </xf>
    <xf numFmtId="166" fontId="15" fillId="0" borderId="2" xfId="0" applyNumberFormat="1" applyFont="1" applyBorder="1" applyAlignment="1">
      <alignment vertical="top" wrapText="1"/>
    </xf>
    <xf numFmtId="169" fontId="15" fillId="0" borderId="2" xfId="0" applyNumberFormat="1" applyFont="1" applyBorder="1" applyAlignment="1">
      <alignment vertical="top" wrapText="1"/>
    </xf>
    <xf numFmtId="166" fontId="13" fillId="0" borderId="2" xfId="0" applyNumberFormat="1" applyFont="1" applyBorder="1" applyAlignment="1">
      <alignment vertical="top" wrapText="1"/>
    </xf>
    <xf numFmtId="170" fontId="13" fillId="0" borderId="2" xfId="0" applyNumberFormat="1" applyFont="1" applyBorder="1" applyAlignment="1">
      <alignment vertical="top" wrapText="1"/>
    </xf>
    <xf numFmtId="0" fontId="16" fillId="0" borderId="0" xfId="1" applyFont="1"/>
    <xf numFmtId="0" fontId="13" fillId="6" borderId="2" xfId="0" applyFont="1" applyFill="1" applyBorder="1" applyAlignment="1">
      <alignment vertical="top" wrapText="1"/>
    </xf>
    <xf numFmtId="0" fontId="13" fillId="8" borderId="2" xfId="0" applyFont="1" applyFill="1" applyBorder="1" applyAlignment="1">
      <alignment vertical="top" wrapText="1"/>
    </xf>
    <xf numFmtId="0" fontId="13" fillId="9" borderId="2" xfId="0" applyFont="1" applyFill="1" applyBorder="1" applyAlignment="1">
      <alignment vertical="top" wrapText="1"/>
    </xf>
    <xf numFmtId="166" fontId="12" fillId="4" borderId="0" xfId="0" applyNumberFormat="1" applyFont="1" applyFill="1"/>
    <xf numFmtId="166" fontId="12" fillId="10" borderId="0" xfId="0" applyNumberFormat="1" applyFont="1" applyFill="1"/>
    <xf numFmtId="169" fontId="12" fillId="10" borderId="0" xfId="0" applyNumberFormat="1" applyFont="1" applyFill="1"/>
    <xf numFmtId="169" fontId="4" fillId="0" borderId="0" xfId="0" applyNumberFormat="1" applyFont="1" applyAlignment="1">
      <alignment vertical="top" wrapText="1"/>
    </xf>
    <xf numFmtId="0" fontId="1" fillId="2" borderId="0" xfId="0" applyFont="1" applyFill="1" applyAlignment="1">
      <alignment vertical="center"/>
    </xf>
    <xf numFmtId="0" fontId="0" fillId="0" borderId="0" xfId="0"/>
    <xf numFmtId="0" fontId="2" fillId="0" borderId="0" xfId="0" applyFont="1" applyAlignment="1">
      <alignment vertical="top" wrapText="1"/>
    </xf>
    <xf numFmtId="0" fontId="7" fillId="4" borderId="0" xfId="0" applyFont="1" applyFill="1" applyAlignment="1">
      <alignment vertical="center"/>
    </xf>
    <xf numFmtId="0" fontId="12" fillId="10" borderId="0" xfId="0" applyFont="1" applyFill="1"/>
    <xf numFmtId="0" fontId="11" fillId="6" borderId="0" xfId="0" applyFont="1" applyFill="1" applyAlignment="1">
      <alignment vertical="center" wrapText="1"/>
    </xf>
    <xf numFmtId="0" fontId="12" fillId="4" borderId="0" xfId="0" applyFont="1" applyFill="1"/>
    <xf numFmtId="0" fontId="8" fillId="5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4">
    <dxf>
      <fill>
        <patternFill patternType="solid">
          <fgColor rgb="FFFCE4D6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FCE4D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rge.dev/pricing/unified" TargetMode="External"/><Relationship Id="rId3" Type="http://schemas.openxmlformats.org/officeDocument/2006/relationships/hyperlink" Target="https://developers.cloudflare.com/workers/platform/pricing/" TargetMode="External"/><Relationship Id="rId7" Type="http://schemas.openxmlformats.org/officeDocument/2006/relationships/hyperlink" Target="https://nango.dev/pricing" TargetMode="External"/><Relationship Id="rId2" Type="http://schemas.openxmlformats.org/officeDocument/2006/relationships/hyperlink" Target="Internal%20model%20assumption" TargetMode="External"/><Relationship Id="rId1" Type="http://schemas.openxmlformats.org/officeDocument/2006/relationships/hyperlink" Target="https://www.ownerrez.com/support/articles/api-rate-limiting" TargetMode="External"/><Relationship Id="rId6" Type="http://schemas.openxmlformats.org/officeDocument/2006/relationships/hyperlink" Target="https://supabase.com/docs/guides/platform/backups" TargetMode="External"/><Relationship Id="rId11" Type="http://schemas.openxmlformats.org/officeDocument/2006/relationships/hyperlink" Target="https://marketplace.nvidia.com/en-us/enterprise/laptops-workstations/nvidia-rtx-pro-6000-blackwell-workstation-edition/" TargetMode="External"/><Relationship Id="rId5" Type="http://schemas.openxmlformats.org/officeDocument/2006/relationships/hyperlink" Target="https://supabase.com/pricing" TargetMode="External"/><Relationship Id="rId10" Type="http://schemas.openxmlformats.org/officeDocument/2006/relationships/hyperlink" Target="https://sentry.io/pricing/" TargetMode="External"/><Relationship Id="rId4" Type="http://schemas.openxmlformats.org/officeDocument/2006/relationships/hyperlink" Target="https://supabase.com/docs/guides/platform/manage-your-usage/compute" TargetMode="External"/><Relationship Id="rId9" Type="http://schemas.openxmlformats.org/officeDocument/2006/relationships/hyperlink" Target="https://developers.openai.com/api/docs/models/gpt-5.6-luna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supabase.com/pricing" TargetMode="External"/><Relationship Id="rId18" Type="http://schemas.openxmlformats.org/officeDocument/2006/relationships/hyperlink" Target="https://pipedream.com/docs/pricing" TargetMode="External"/><Relationship Id="rId26" Type="http://schemas.openxmlformats.org/officeDocument/2006/relationships/hyperlink" Target="https://workos.com/pricing" TargetMode="External"/><Relationship Id="rId39" Type="http://schemas.openxmlformats.org/officeDocument/2006/relationships/hyperlink" Target="https://www.twilio.com/en-us/sms/pricing/us" TargetMode="External"/><Relationship Id="rId21" Type="http://schemas.openxmlformats.org/officeDocument/2006/relationships/hyperlink" Target="https://prismatic.io/pricing/" TargetMode="External"/><Relationship Id="rId34" Type="http://schemas.openxmlformats.org/officeDocument/2006/relationships/hyperlink" Target="https://developers.openai.com/api/docs/models/text-embedding-3-small" TargetMode="External"/><Relationship Id="rId42" Type="http://schemas.openxmlformats.org/officeDocument/2006/relationships/hyperlink" Target="https://cloud.google.com/document-ai/pricing" TargetMode="External"/><Relationship Id="rId7" Type="http://schemas.openxmlformats.org/officeDocument/2006/relationships/hyperlink" Target="https://developers.cloudflare.com/workers/observability/exporting-opentelemetry-data/" TargetMode="External"/><Relationship Id="rId2" Type="http://schemas.openxmlformats.org/officeDocument/2006/relationships/hyperlink" Target="https://developers.cloudflare.com/workers/platform/limits/" TargetMode="External"/><Relationship Id="rId16" Type="http://schemas.openxmlformats.org/officeDocument/2006/relationships/hyperlink" Target="https://nango.dev/pricing" TargetMode="External"/><Relationship Id="rId29" Type="http://schemas.openxmlformats.org/officeDocument/2006/relationships/hyperlink" Target="https://langfuse.com/pricing" TargetMode="External"/><Relationship Id="rId1" Type="http://schemas.openxmlformats.org/officeDocument/2006/relationships/hyperlink" Target="https://developers.cloudflare.com/workers/platform/pricing/" TargetMode="External"/><Relationship Id="rId6" Type="http://schemas.openxmlformats.org/officeDocument/2006/relationships/hyperlink" Target="https://developers.cloudflare.com/workers/observability/logs/workers-logs/" TargetMode="External"/><Relationship Id="rId11" Type="http://schemas.openxmlformats.org/officeDocument/2006/relationships/hyperlink" Target="https://supabase.com/docs/guides/platform/manage-your-usage/compute" TargetMode="External"/><Relationship Id="rId24" Type="http://schemas.openxmlformats.org/officeDocument/2006/relationships/hyperlink" Target="https://workos.com/pricing" TargetMode="External"/><Relationship Id="rId32" Type="http://schemas.openxmlformats.org/officeDocument/2006/relationships/hyperlink" Target="https://developers.openai.com/api/docs/models/gpt-5.6-luna" TargetMode="External"/><Relationship Id="rId37" Type="http://schemas.openxmlformats.org/officeDocument/2006/relationships/hyperlink" Target="https://marketplace.nvidia.com/en-us/enterprise/laptops-workstations/nvidia-rtx-pro-6000-blackwell-workstation-edition/" TargetMode="External"/><Relationship Id="rId40" Type="http://schemas.openxmlformats.org/officeDocument/2006/relationships/hyperlink" Target="https://www.twilio.com/en-us/pricing" TargetMode="External"/><Relationship Id="rId45" Type="http://schemas.openxmlformats.org/officeDocument/2006/relationships/hyperlink" Target="https://render.com/pricing" TargetMode="External"/><Relationship Id="rId5" Type="http://schemas.openxmlformats.org/officeDocument/2006/relationships/hyperlink" Target="https://developers.cloudflare.com/r2/pricing/" TargetMode="External"/><Relationship Id="rId15" Type="http://schemas.openxmlformats.org/officeDocument/2006/relationships/hyperlink" Target="https://nango.dev/pricing" TargetMode="External"/><Relationship Id="rId23" Type="http://schemas.openxmlformats.org/officeDocument/2006/relationships/hyperlink" Target="https://airbyte.com/pricing" TargetMode="External"/><Relationship Id="rId28" Type="http://schemas.openxmlformats.org/officeDocument/2006/relationships/hyperlink" Target="https://sentry.io/pricing/" TargetMode="External"/><Relationship Id="rId36" Type="http://schemas.openxmlformats.org/officeDocument/2006/relationships/hyperlink" Target="https://ai.google.dev/gemini-api/docs/pricing" TargetMode="External"/><Relationship Id="rId10" Type="http://schemas.openxmlformats.org/officeDocument/2006/relationships/hyperlink" Target="https://supabase.com/pricing" TargetMode="External"/><Relationship Id="rId19" Type="http://schemas.openxmlformats.org/officeDocument/2006/relationships/hyperlink" Target="https://n8n.io/pricing/" TargetMode="External"/><Relationship Id="rId31" Type="http://schemas.openxmlformats.org/officeDocument/2006/relationships/hyperlink" Target="https://cloud.google.com/document-ai/pricing" TargetMode="External"/><Relationship Id="rId44" Type="http://schemas.openxmlformats.org/officeDocument/2006/relationships/hyperlink" Target="https://developers.cloudflare.com/containers/pricing/" TargetMode="External"/><Relationship Id="rId4" Type="http://schemas.openxmlformats.org/officeDocument/2006/relationships/hyperlink" Target="https://developers.cloudflare.com/r2/pricing/" TargetMode="External"/><Relationship Id="rId9" Type="http://schemas.openxmlformats.org/officeDocument/2006/relationships/hyperlink" Target="https://developers.cloudflare.com/durable-objects/platform/pricing/" TargetMode="External"/><Relationship Id="rId14" Type="http://schemas.openxmlformats.org/officeDocument/2006/relationships/hyperlink" Target="https://supabase.com/pricing" TargetMode="External"/><Relationship Id="rId22" Type="http://schemas.openxmlformats.org/officeDocument/2006/relationships/hyperlink" Target="https://airbyte.com/product/airbyte-cloud" TargetMode="External"/><Relationship Id="rId27" Type="http://schemas.openxmlformats.org/officeDocument/2006/relationships/hyperlink" Target="https://sentry.io/pricing/" TargetMode="External"/><Relationship Id="rId30" Type="http://schemas.openxmlformats.org/officeDocument/2006/relationships/hyperlink" Target="https://langfuse.com/pricing" TargetMode="External"/><Relationship Id="rId35" Type="http://schemas.openxmlformats.org/officeDocument/2006/relationships/hyperlink" Target="https://platform.claude.com/docs/en/about-claude/pricing" TargetMode="External"/><Relationship Id="rId43" Type="http://schemas.openxmlformats.org/officeDocument/2006/relationships/hyperlink" Target="https://developers.openai.com/api/docs/models/gpt-5.6-sol" TargetMode="External"/><Relationship Id="rId8" Type="http://schemas.openxmlformats.org/officeDocument/2006/relationships/hyperlink" Target="https://www.cloudflare.com/plans/" TargetMode="External"/><Relationship Id="rId3" Type="http://schemas.openxmlformats.org/officeDocument/2006/relationships/hyperlink" Target="https://developers.cloudflare.com/queues/platform/pricing/" TargetMode="External"/><Relationship Id="rId12" Type="http://schemas.openxmlformats.org/officeDocument/2006/relationships/hyperlink" Target="https://supabase.com/docs/guides/platform/backups" TargetMode="External"/><Relationship Id="rId17" Type="http://schemas.openxmlformats.org/officeDocument/2006/relationships/hyperlink" Target="https://www.merge.dev/pricing/unified" TargetMode="External"/><Relationship Id="rId25" Type="http://schemas.openxmlformats.org/officeDocument/2006/relationships/hyperlink" Target="https://workos.com/pricing" TargetMode="External"/><Relationship Id="rId33" Type="http://schemas.openxmlformats.org/officeDocument/2006/relationships/hyperlink" Target="https://developers.openai.com/api/docs/models/gpt-5.6-terra" TargetMode="External"/><Relationship Id="rId38" Type="http://schemas.openxmlformats.org/officeDocument/2006/relationships/hyperlink" Target="https://stripe.com/pricing" TargetMode="External"/><Relationship Id="rId46" Type="http://schemas.openxmlformats.org/officeDocument/2006/relationships/hyperlink" Target="https://resend.com/pricing?volume=50000" TargetMode="External"/><Relationship Id="rId20" Type="http://schemas.openxmlformats.org/officeDocument/2006/relationships/hyperlink" Target="https://n8n.io/pricing/" TargetMode="External"/><Relationship Id="rId41" Type="http://schemas.openxmlformats.org/officeDocument/2006/relationships/hyperlink" Target="https://github.com/docling-project/docling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Requires%20Small;%20does%20not%20back%20up%20Storage%20objects%20or%20R2" TargetMode="External"/><Relationship Id="rId18" Type="http://schemas.openxmlformats.org/officeDocument/2006/relationships/hyperlink" Target="Output/reasoning%20tokens%20must%20be%20metered" TargetMode="External"/><Relationship Id="rId26" Type="http://schemas.openxmlformats.org/officeDocument/2006/relationships/hyperlink" Target="Dedicated%20Twilio%20number/A2P%20has%20separate%20fees" TargetMode="External"/><Relationship Id="rId21" Type="http://schemas.openxmlformats.org/officeDocument/2006/relationships/hyperlink" Target="Included%20in%20Pro%20allowances" TargetMode="External"/><Relationship Id="rId34" Type="http://schemas.openxmlformats.org/officeDocument/2006/relationships/hyperlink" Target="Growth%20is%20$1,499%20through%20120%20listings" TargetMode="External"/><Relationship Id="rId7" Type="http://schemas.openxmlformats.org/officeDocument/2006/relationships/hyperlink" Target="Captured%20event%20is%20a%20proxy,%20not%20proof%20of%20one%20write" TargetMode="External"/><Relationship Id="rId12" Type="http://schemas.openxmlformats.org/officeDocument/2006/relationships/hyperlink" Target="Cached%20egress%20has%20a%20different%20meter" TargetMode="External"/><Relationship Id="rId17" Type="http://schemas.openxmlformats.org/officeDocument/2006/relationships/hyperlink" Target="Batch%20is%2050%25%20lower;%20cache%20hits%20have%20separate%20price" TargetMode="External"/><Relationship Id="rId25" Type="http://schemas.openxmlformats.org/officeDocument/2006/relationships/hyperlink" Target="Pro%20is%20$20/50k;%20default%20Supabase%20SMTP%20is%20not%20production" TargetMode="External"/><Relationship Id="rId33" Type="http://schemas.openxmlformats.org/officeDocument/2006/relationships/hyperlink" Target="Public%20API%20price/quota%20unavailable;%20direct%20terms%20may%20conflict%20with%20canonical%20retention" TargetMode="External"/><Relationship Id="rId2" Type="http://schemas.openxmlformats.org/officeDocument/2006/relationships/hyperlink" Target="Static%20assets%20and%20subrequests%20are%20not%20separately%20billed" TargetMode="External"/><Relationship Id="rId16" Type="http://schemas.openxmlformats.org/officeDocument/2006/relationships/hyperlink" Target="Free%20is%20for%20testing;%20one%20connection%20is%20one%20authorized%20account" TargetMode="External"/><Relationship Id="rId20" Type="http://schemas.openxmlformats.org/officeDocument/2006/relationships/hyperlink" Target="Free%20through%2050%20users" TargetMode="External"/><Relationship Id="rId29" Type="http://schemas.openxmlformats.org/officeDocument/2006/relationships/hyperlink" Target="ACH%200.8%25%20capped%20$5;%20cards%202.9%25+$0.30;%20Billing%20+0.7%25" TargetMode="External"/><Relationship Id="rId1" Type="http://schemas.openxmlformats.org/officeDocument/2006/relationships/hyperlink" Target="10M%20requests%20and%2030M%20CPU%20ms%20included;%20not%20$5/client" TargetMode="External"/><Relationship Id="rId6" Type="http://schemas.openxmlformats.org/officeDocument/2006/relationships/hyperlink" Target="Standard%20first;%20IA%20only%20from%20measured%20cold%20access" TargetMode="External"/><Relationship Id="rId11" Type="http://schemas.openxmlformats.org/officeDocument/2006/relationships/hyperlink" Target="Allowance%20is%20per%20project" TargetMode="External"/><Relationship Id="rId24" Type="http://schemas.openxmlformats.org/officeDocument/2006/relationships/hyperlink" Target="Heavy/Pro%20sensitivity%20is%20$199;%20each%20trace/observation/score%20can%20be%20a%20unit" TargetMode="External"/><Relationship Id="rId32" Type="http://schemas.openxmlformats.org/officeDocument/2006/relationships/hyperlink" Target="Pricing%20quote-based%20at%205+%20properties" TargetMode="External"/><Relationship Id="rId37" Type="http://schemas.openxmlformats.org/officeDocument/2006/relationships/hyperlink" Target="No%20stable%20official%20source%20confidently%20tied%20to%20local%20module" TargetMode="External"/><Relationship Id="rId5" Type="http://schemas.openxmlformats.org/officeDocument/2006/relationships/hyperlink" Target="Seven-day%20retention;%20no%20payload%20logging" TargetMode="External"/><Relationship Id="rId15" Type="http://schemas.openxmlformats.org/officeDocument/2006/relationships/hyperlink" Target="$50%20supports%20separate%20web%20+%20worker;%20no%20automatic%20link%20to%20Supabase%20isolation" TargetMode="External"/><Relationship Id="rId23" Type="http://schemas.openxmlformats.org/officeDocument/2006/relationships/hyperlink" Target="Developer%20plan%20is%20sufficient%20for%20founder%20pilot" TargetMode="External"/><Relationship Id="rId28" Type="http://schemas.openxmlformats.org/officeDocument/2006/relationships/hyperlink" Target="Human%20support%20labor%20is%20excluded" TargetMode="External"/><Relationship Id="rId36" Type="http://schemas.openxmlformats.org/officeDocument/2006/relationships/hyperlink" Target="Google%20Drive%20excess%20charging%20is%20announced%20for%20later%202026;%20monitor" TargetMode="External"/><Relationship Id="rId10" Type="http://schemas.openxmlformats.org/officeDocument/2006/relationships/hyperlink" Target="Small%20is%20$15%20and%20is%20forced%20by%20PITR;%20credit%20availability%20matters" TargetMode="External"/><Relationship Id="rId19" Type="http://schemas.openxmlformats.org/officeDocument/2006/relationships/hyperlink" Target="OCR-only%20is%20$1.50/1k%20pages;%20Form%20Parser%20is%20$30/1k" TargetMode="External"/><Relationship Id="rId31" Type="http://schemas.openxmlformats.org/officeDocument/2006/relationships/hyperlink" Target="No%20public%20partner%20fee/quota/webhook%20SLA" TargetMode="External"/><Relationship Id="rId4" Type="http://schemas.openxmlformats.org/officeDocument/2006/relationships/hyperlink" Target="One%20message%20per%20property/source/sync;%20retries%20and%20%3e64KB%20chunks%20add%20operations" TargetMode="External"/><Relationship Id="rId9" Type="http://schemas.openxmlformats.org/officeDocument/2006/relationships/hyperlink" Target="One%20$10%20compute%20credit%20per%20organization" TargetMode="External"/><Relationship Id="rId14" Type="http://schemas.openxmlformats.org/officeDocument/2006/relationships/hyperlink" Target="Public%20prices%20are%20not%20a%20substitute%20for%20the%20actual%20invoice" TargetMode="External"/><Relationship Id="rId22" Type="http://schemas.openxmlformats.org/officeDocument/2006/relationships/hyperlink" Target="Directory%20Sync%20is%20another%20$125/connection;%20domain/audit/SIEM%20separate" TargetMode="External"/><Relationship Id="rId27" Type="http://schemas.openxmlformats.org/officeDocument/2006/relationships/hyperlink" Target="Exact%20new-domain%20renewal%20depends%20on%20TLD" TargetMode="External"/><Relationship Id="rId30" Type="http://schemas.openxmlformats.org/officeDocument/2006/relationships/hyperlink" Target="$152%20is%20only%20the%20120-property%20Listing%20Content%20add-on%20example&#8212;not%20base%20API" TargetMode="External"/><Relationship Id="rId35" Type="http://schemas.openxmlformats.org/officeDocument/2006/relationships/hyperlink" Target="$120/month%20at%20120%20listings%20when%20activated" TargetMode="External"/><Relationship Id="rId8" Type="http://schemas.openxmlformats.org/officeDocument/2006/relationships/hyperlink" Target="Internet%20egress%20is%20free;%20IA%20retrieval%20is%20not" TargetMode="External"/><Relationship Id="rId3" Type="http://schemas.openxmlformats.org/officeDocument/2006/relationships/hyperlink" Target="Long%20browsers/parsing%20belong%20in%20jobs/contain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showGridLines="0" tabSelected="1" workbookViewId="0">
      <pane xSplit="2" ySplit="4" topLeftCell="C5" activePane="bottomRight" state="frozen"/>
      <selection pane="topRight"/>
      <selection pane="bottomLeft"/>
      <selection pane="bottomRight" sqref="A1:I1"/>
    </sheetView>
  </sheetViews>
  <sheetFormatPr defaultRowHeight="14.5" x14ac:dyDescent="0.35"/>
  <cols>
    <col min="1" max="1" width="16" customWidth="1"/>
    <col min="2" max="2" width="34" customWidth="1"/>
    <col min="3" max="5" width="12" customWidth="1"/>
    <col min="6" max="6" width="22" customWidth="1"/>
    <col min="7" max="7" width="14" customWidth="1"/>
    <col min="8" max="8" width="58" customWidth="1"/>
    <col min="9" max="9" width="22" customWidth="1"/>
  </cols>
  <sheetData>
    <row r="1" spans="1:9" ht="26" customHeight="1" x14ac:dyDescent="0.35">
      <c r="A1" s="41" t="s">
        <v>0</v>
      </c>
      <c r="B1" s="42"/>
      <c r="C1" s="42"/>
      <c r="D1" s="42"/>
      <c r="E1" s="42"/>
      <c r="F1" s="42"/>
      <c r="G1" s="42"/>
      <c r="H1" s="42"/>
      <c r="I1" s="42"/>
    </row>
    <row r="2" spans="1:9" ht="30" customHeight="1" x14ac:dyDescent="0.35">
      <c r="A2" s="43" t="s">
        <v>1</v>
      </c>
      <c r="B2" s="42"/>
      <c r="C2" s="42"/>
      <c r="D2" s="42"/>
      <c r="E2" s="42"/>
      <c r="F2" s="42"/>
      <c r="G2" s="42"/>
      <c r="H2" s="42"/>
      <c r="I2" s="42"/>
    </row>
    <row r="4" spans="1:9" ht="28" customHeight="1" x14ac:dyDescent="0.3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x14ac:dyDescent="0.35">
      <c r="A5" s="2" t="s">
        <v>11</v>
      </c>
      <c r="B5" s="2" t="s">
        <v>12</v>
      </c>
      <c r="C5" s="3">
        <v>3</v>
      </c>
      <c r="D5" s="3">
        <v>6</v>
      </c>
      <c r="E5" s="3">
        <v>10</v>
      </c>
      <c r="F5" s="2" t="s">
        <v>13</v>
      </c>
      <c r="G5" s="2" t="s">
        <v>14</v>
      </c>
      <c r="H5" s="2" t="s">
        <v>15</v>
      </c>
      <c r="I5" s="4" t="s">
        <v>16</v>
      </c>
    </row>
    <row r="6" spans="1:9" x14ac:dyDescent="0.35">
      <c r="A6" s="2" t="s">
        <v>11</v>
      </c>
      <c r="B6" s="2" t="s">
        <v>17</v>
      </c>
      <c r="C6" s="3">
        <v>3</v>
      </c>
      <c r="D6" s="3">
        <v>8</v>
      </c>
      <c r="E6" s="3">
        <v>20</v>
      </c>
      <c r="F6" s="2" t="s">
        <v>18</v>
      </c>
      <c r="G6" s="2" t="s">
        <v>14</v>
      </c>
      <c r="H6" s="2" t="s">
        <v>19</v>
      </c>
      <c r="I6" s="4" t="s">
        <v>16</v>
      </c>
    </row>
    <row r="7" spans="1:9" ht="23" customHeight="1" x14ac:dyDescent="0.35">
      <c r="A7" s="2" t="s">
        <v>20</v>
      </c>
      <c r="B7" s="2" t="s">
        <v>21</v>
      </c>
      <c r="C7" s="3">
        <v>0.5</v>
      </c>
      <c r="D7" s="3">
        <v>2</v>
      </c>
      <c r="E7" s="3">
        <v>8</v>
      </c>
      <c r="F7" s="2" t="s">
        <v>22</v>
      </c>
      <c r="G7" s="2" t="s">
        <v>14</v>
      </c>
      <c r="H7" s="2" t="s">
        <v>23</v>
      </c>
      <c r="I7" s="4" t="s">
        <v>16</v>
      </c>
    </row>
    <row r="8" spans="1:9" ht="23" customHeight="1" x14ac:dyDescent="0.35">
      <c r="A8" s="2" t="s">
        <v>20</v>
      </c>
      <c r="B8" s="2" t="s">
        <v>24</v>
      </c>
      <c r="C8" s="3">
        <v>0.01</v>
      </c>
      <c r="D8" s="3">
        <v>0.04</v>
      </c>
      <c r="E8" s="3">
        <v>0.15</v>
      </c>
      <c r="F8" s="2" t="s">
        <v>22</v>
      </c>
      <c r="G8" s="2" t="s">
        <v>14</v>
      </c>
      <c r="H8" s="2" t="s">
        <v>25</v>
      </c>
      <c r="I8" s="4" t="s">
        <v>16</v>
      </c>
    </row>
    <row r="9" spans="1:9" x14ac:dyDescent="0.35">
      <c r="A9" s="2" t="s">
        <v>20</v>
      </c>
      <c r="B9" s="2" t="s">
        <v>26</v>
      </c>
      <c r="C9" s="3">
        <v>0.05</v>
      </c>
      <c r="D9" s="3">
        <v>0.3</v>
      </c>
      <c r="E9" s="3">
        <v>2</v>
      </c>
      <c r="F9" s="2" t="s">
        <v>27</v>
      </c>
      <c r="G9" s="2" t="s">
        <v>14</v>
      </c>
      <c r="H9" s="2" t="s">
        <v>28</v>
      </c>
      <c r="I9" s="4" t="s">
        <v>16</v>
      </c>
    </row>
    <row r="10" spans="1:9" x14ac:dyDescent="0.35">
      <c r="A10" s="2" t="s">
        <v>29</v>
      </c>
      <c r="B10" s="2" t="s">
        <v>30</v>
      </c>
      <c r="C10" s="3">
        <v>20</v>
      </c>
      <c r="D10" s="3">
        <v>100</v>
      </c>
      <c r="E10" s="3">
        <v>500</v>
      </c>
      <c r="F10" s="2" t="s">
        <v>31</v>
      </c>
      <c r="G10" s="2" t="s">
        <v>14</v>
      </c>
      <c r="H10" s="2" t="s">
        <v>32</v>
      </c>
      <c r="I10" s="4" t="s">
        <v>16</v>
      </c>
    </row>
    <row r="11" spans="1:9" x14ac:dyDescent="0.35">
      <c r="A11" s="2" t="s">
        <v>29</v>
      </c>
      <c r="B11" s="2" t="s">
        <v>33</v>
      </c>
      <c r="C11" s="5">
        <v>0.1</v>
      </c>
      <c r="D11" s="5">
        <v>0.25</v>
      </c>
      <c r="E11" s="5">
        <v>0.6</v>
      </c>
      <c r="F11" s="2" t="s">
        <v>34</v>
      </c>
      <c r="G11" s="2" t="s">
        <v>14</v>
      </c>
      <c r="H11" s="2" t="s">
        <v>35</v>
      </c>
      <c r="I11" s="4" t="s">
        <v>16</v>
      </c>
    </row>
    <row r="12" spans="1:9" x14ac:dyDescent="0.35">
      <c r="A12" s="2" t="s">
        <v>29</v>
      </c>
      <c r="B12" s="2" t="s">
        <v>36</v>
      </c>
      <c r="C12" s="3">
        <v>50</v>
      </c>
      <c r="D12" s="3">
        <v>100</v>
      </c>
      <c r="E12" s="3">
        <v>200</v>
      </c>
      <c r="F12" s="2" t="s">
        <v>37</v>
      </c>
      <c r="G12" s="2" t="s">
        <v>14</v>
      </c>
      <c r="H12" s="2" t="s">
        <v>38</v>
      </c>
      <c r="I12" s="4" t="s">
        <v>16</v>
      </c>
    </row>
    <row r="13" spans="1:9" x14ac:dyDescent="0.35">
      <c r="A13" s="2" t="s">
        <v>29</v>
      </c>
      <c r="B13" s="2" t="s">
        <v>39</v>
      </c>
      <c r="C13" s="3">
        <v>0.14000000000000001</v>
      </c>
      <c r="D13" s="3">
        <v>0.25</v>
      </c>
      <c r="E13" s="3">
        <v>1</v>
      </c>
      <c r="F13" s="2" t="s">
        <v>40</v>
      </c>
      <c r="G13" s="2" t="s">
        <v>14</v>
      </c>
      <c r="H13" s="2" t="s">
        <v>41</v>
      </c>
      <c r="I13" s="4" t="s">
        <v>16</v>
      </c>
    </row>
    <row r="14" spans="1:9" x14ac:dyDescent="0.35">
      <c r="A14" s="2" t="s">
        <v>29</v>
      </c>
      <c r="B14" s="2" t="s">
        <v>42</v>
      </c>
      <c r="C14" s="3">
        <v>1</v>
      </c>
      <c r="D14" s="3">
        <v>4</v>
      </c>
      <c r="E14" s="3">
        <v>8</v>
      </c>
      <c r="F14" s="2" t="s">
        <v>40</v>
      </c>
      <c r="G14" s="2" t="s">
        <v>14</v>
      </c>
      <c r="H14" s="2" t="s">
        <v>43</v>
      </c>
      <c r="I14" s="4" t="s">
        <v>16</v>
      </c>
    </row>
    <row r="15" spans="1:9" ht="23" customHeight="1" x14ac:dyDescent="0.35">
      <c r="A15" s="2" t="s">
        <v>29</v>
      </c>
      <c r="B15" s="2" t="s">
        <v>44</v>
      </c>
      <c r="C15" s="3">
        <v>12</v>
      </c>
      <c r="D15" s="3">
        <v>24</v>
      </c>
      <c r="E15" s="3">
        <v>96</v>
      </c>
      <c r="F15" s="2" t="s">
        <v>40</v>
      </c>
      <c r="G15" s="2" t="s">
        <v>14</v>
      </c>
      <c r="H15" s="2" t="s">
        <v>45</v>
      </c>
      <c r="I15" s="4" t="s">
        <v>16</v>
      </c>
    </row>
    <row r="16" spans="1:9" x14ac:dyDescent="0.35">
      <c r="A16" s="2" t="s">
        <v>46</v>
      </c>
      <c r="B16" s="2" t="s">
        <v>47</v>
      </c>
      <c r="C16" s="3">
        <v>2</v>
      </c>
      <c r="D16" s="3">
        <v>8</v>
      </c>
      <c r="E16" s="3">
        <v>25</v>
      </c>
      <c r="F16" s="2" t="s">
        <v>48</v>
      </c>
      <c r="G16" s="2" t="s">
        <v>14</v>
      </c>
      <c r="H16" s="2" t="s">
        <v>49</v>
      </c>
      <c r="I16" s="4" t="s">
        <v>16</v>
      </c>
    </row>
    <row r="17" spans="1:9" x14ac:dyDescent="0.35">
      <c r="A17" s="2" t="s">
        <v>46</v>
      </c>
      <c r="B17" s="2" t="s">
        <v>50</v>
      </c>
      <c r="C17" s="3">
        <v>0.2</v>
      </c>
      <c r="D17" s="3">
        <v>1</v>
      </c>
      <c r="E17" s="3">
        <v>3</v>
      </c>
      <c r="F17" s="2" t="s">
        <v>51</v>
      </c>
      <c r="G17" s="2" t="s">
        <v>14</v>
      </c>
      <c r="H17" s="2" t="s">
        <v>52</v>
      </c>
      <c r="I17" s="4" t="s">
        <v>16</v>
      </c>
    </row>
    <row r="18" spans="1:9" x14ac:dyDescent="0.35">
      <c r="A18" s="2" t="s">
        <v>46</v>
      </c>
      <c r="B18" s="2" t="s">
        <v>53</v>
      </c>
      <c r="C18" s="5">
        <v>0.01</v>
      </c>
      <c r="D18" s="5">
        <v>0.1</v>
      </c>
      <c r="E18" s="5">
        <v>0.5</v>
      </c>
      <c r="F18" s="2" t="s">
        <v>34</v>
      </c>
      <c r="G18" s="2" t="s">
        <v>14</v>
      </c>
      <c r="H18" s="2" t="s">
        <v>54</v>
      </c>
      <c r="I18" s="4" t="s">
        <v>16</v>
      </c>
    </row>
    <row r="19" spans="1:9" ht="23" customHeight="1" x14ac:dyDescent="0.35">
      <c r="A19" s="2" t="s">
        <v>46</v>
      </c>
      <c r="B19" s="2" t="s">
        <v>55</v>
      </c>
      <c r="C19" s="6">
        <v>0</v>
      </c>
      <c r="D19" s="6">
        <v>0</v>
      </c>
      <c r="E19" s="6">
        <v>25</v>
      </c>
      <c r="F19" s="2" t="s">
        <v>56</v>
      </c>
      <c r="G19" s="2" t="s">
        <v>57</v>
      </c>
      <c r="H19" s="2" t="s">
        <v>58</v>
      </c>
      <c r="I19" s="4" t="s">
        <v>59</v>
      </c>
    </row>
    <row r="20" spans="1:9" ht="23" customHeight="1" x14ac:dyDescent="0.35">
      <c r="A20" s="2" t="s">
        <v>60</v>
      </c>
      <c r="B20" s="2" t="s">
        <v>61</v>
      </c>
      <c r="C20" s="5">
        <v>0</v>
      </c>
      <c r="D20" s="5">
        <v>0</v>
      </c>
      <c r="E20" s="5">
        <v>0.25</v>
      </c>
      <c r="F20" s="2" t="s">
        <v>62</v>
      </c>
      <c r="G20" s="2" t="s">
        <v>63</v>
      </c>
      <c r="H20" s="2" t="s">
        <v>64</v>
      </c>
      <c r="I20" s="4" t="s">
        <v>65</v>
      </c>
    </row>
    <row r="21" spans="1:9" ht="23" x14ac:dyDescent="0.35">
      <c r="A21" s="2" t="s">
        <v>66</v>
      </c>
      <c r="B21" s="2" t="s">
        <v>67</v>
      </c>
      <c r="C21" s="3">
        <v>0</v>
      </c>
      <c r="D21" s="3">
        <v>0</v>
      </c>
      <c r="E21" s="3">
        <v>0</v>
      </c>
      <c r="F21" s="2" t="s">
        <v>68</v>
      </c>
      <c r="G21" s="2" t="s">
        <v>69</v>
      </c>
      <c r="H21" s="2" t="s">
        <v>70</v>
      </c>
      <c r="I21" s="4" t="s">
        <v>71</v>
      </c>
    </row>
    <row r="22" spans="1:9" x14ac:dyDescent="0.35">
      <c r="A22" s="2" t="s">
        <v>72</v>
      </c>
      <c r="B22" s="2" t="s">
        <v>73</v>
      </c>
      <c r="C22" s="3">
        <v>2</v>
      </c>
      <c r="D22" s="3">
        <v>4</v>
      </c>
      <c r="E22" s="3">
        <v>8</v>
      </c>
      <c r="F22" s="2" t="s">
        <v>74</v>
      </c>
      <c r="G22" s="2" t="s">
        <v>14</v>
      </c>
      <c r="H22" s="2" t="s">
        <v>75</v>
      </c>
      <c r="I22" s="4" t="s">
        <v>16</v>
      </c>
    </row>
    <row r="23" spans="1:9" x14ac:dyDescent="0.35">
      <c r="A23" s="2" t="s">
        <v>72</v>
      </c>
      <c r="B23" s="2" t="s">
        <v>76</v>
      </c>
      <c r="C23" s="3">
        <v>10</v>
      </c>
      <c r="D23" s="3">
        <v>20</v>
      </c>
      <c r="E23" s="3">
        <v>50</v>
      </c>
      <c r="F23" s="2" t="s">
        <v>74</v>
      </c>
      <c r="G23" s="2" t="s">
        <v>14</v>
      </c>
      <c r="H23" s="2" t="s">
        <v>77</v>
      </c>
      <c r="I23" s="4" t="s">
        <v>16</v>
      </c>
    </row>
    <row r="24" spans="1:9" x14ac:dyDescent="0.35">
      <c r="A24" s="2" t="s">
        <v>72</v>
      </c>
      <c r="B24" s="2" t="s">
        <v>78</v>
      </c>
      <c r="C24" s="3">
        <v>100</v>
      </c>
      <c r="D24" s="3">
        <v>250</v>
      </c>
      <c r="E24" s="3">
        <v>600</v>
      </c>
      <c r="F24" s="2" t="s">
        <v>74</v>
      </c>
      <c r="G24" s="2" t="s">
        <v>14</v>
      </c>
      <c r="H24" s="2" t="s">
        <v>79</v>
      </c>
      <c r="I24" s="4" t="s">
        <v>16</v>
      </c>
    </row>
    <row r="25" spans="1:9" x14ac:dyDescent="0.35">
      <c r="A25" s="2" t="s">
        <v>72</v>
      </c>
      <c r="B25" s="2" t="s">
        <v>80</v>
      </c>
      <c r="C25" s="3">
        <v>4000</v>
      </c>
      <c r="D25" s="3">
        <v>8000</v>
      </c>
      <c r="E25" s="3">
        <v>15000</v>
      </c>
      <c r="F25" s="2" t="s">
        <v>81</v>
      </c>
      <c r="G25" s="2" t="s">
        <v>14</v>
      </c>
      <c r="H25" s="2" t="s">
        <v>82</v>
      </c>
      <c r="I25" s="4" t="s">
        <v>16</v>
      </c>
    </row>
    <row r="26" spans="1:9" x14ac:dyDescent="0.35">
      <c r="A26" s="2" t="s">
        <v>72</v>
      </c>
      <c r="B26" s="2" t="s">
        <v>83</v>
      </c>
      <c r="C26" s="3">
        <v>600</v>
      </c>
      <c r="D26" s="3">
        <v>1500</v>
      </c>
      <c r="E26" s="3">
        <v>3000</v>
      </c>
      <c r="F26" s="2" t="s">
        <v>81</v>
      </c>
      <c r="G26" s="2" t="s">
        <v>14</v>
      </c>
      <c r="H26" s="2" t="s">
        <v>84</v>
      </c>
      <c r="I26" s="4" t="s">
        <v>16</v>
      </c>
    </row>
    <row r="27" spans="1:9" x14ac:dyDescent="0.35">
      <c r="A27" s="2" t="s">
        <v>72</v>
      </c>
      <c r="B27" s="2" t="s">
        <v>85</v>
      </c>
      <c r="C27" s="6">
        <v>0.1</v>
      </c>
      <c r="D27" s="6">
        <v>0.1</v>
      </c>
      <c r="E27" s="6">
        <v>0.3</v>
      </c>
      <c r="F27" s="2" t="s">
        <v>86</v>
      </c>
      <c r="G27" s="2" t="s">
        <v>87</v>
      </c>
      <c r="H27" s="2" t="s">
        <v>88</v>
      </c>
      <c r="I27" s="2" t="s">
        <v>16</v>
      </c>
    </row>
    <row r="28" spans="1:9" x14ac:dyDescent="0.35">
      <c r="A28" s="2" t="s">
        <v>72</v>
      </c>
      <c r="B28" s="2" t="s">
        <v>89</v>
      </c>
      <c r="C28" s="6">
        <v>0.4</v>
      </c>
      <c r="D28" s="6">
        <v>0.4</v>
      </c>
      <c r="E28" s="6">
        <v>2.5</v>
      </c>
      <c r="F28" s="2" t="s">
        <v>86</v>
      </c>
      <c r="G28" s="2" t="s">
        <v>90</v>
      </c>
      <c r="H28" s="2" t="s">
        <v>91</v>
      </c>
      <c r="I28" s="4" t="s">
        <v>16</v>
      </c>
    </row>
    <row r="29" spans="1:9" x14ac:dyDescent="0.35">
      <c r="A29" s="2" t="s">
        <v>72</v>
      </c>
      <c r="B29" s="2" t="s">
        <v>92</v>
      </c>
      <c r="C29" s="6">
        <v>0.3</v>
      </c>
      <c r="D29" s="6">
        <v>0.3</v>
      </c>
      <c r="E29" s="6">
        <v>1</v>
      </c>
      <c r="F29" s="2" t="s">
        <v>86</v>
      </c>
      <c r="G29" s="2" t="s">
        <v>87</v>
      </c>
      <c r="H29" s="2" t="s">
        <v>93</v>
      </c>
      <c r="I29" s="2" t="s">
        <v>16</v>
      </c>
    </row>
    <row r="30" spans="1:9" x14ac:dyDescent="0.35">
      <c r="A30" s="2" t="s">
        <v>72</v>
      </c>
      <c r="B30" s="2" t="s">
        <v>94</v>
      </c>
      <c r="C30" s="6">
        <v>2.5</v>
      </c>
      <c r="D30" s="6">
        <v>2.5</v>
      </c>
      <c r="E30" s="6">
        <v>6</v>
      </c>
      <c r="F30" s="2" t="s">
        <v>86</v>
      </c>
      <c r="G30" s="2" t="s">
        <v>87</v>
      </c>
      <c r="H30" s="2" t="s">
        <v>93</v>
      </c>
      <c r="I30" s="2" t="s">
        <v>16</v>
      </c>
    </row>
    <row r="31" spans="1:9" x14ac:dyDescent="0.35">
      <c r="A31" s="2" t="s">
        <v>72</v>
      </c>
      <c r="B31" s="2" t="s">
        <v>95</v>
      </c>
      <c r="C31" s="6">
        <v>1</v>
      </c>
      <c r="D31" s="6">
        <v>2.5</v>
      </c>
      <c r="E31" s="6">
        <v>5</v>
      </c>
      <c r="F31" s="2" t="s">
        <v>86</v>
      </c>
      <c r="G31" s="2" t="s">
        <v>87</v>
      </c>
      <c r="H31" s="2" t="s">
        <v>96</v>
      </c>
      <c r="I31" s="2" t="s">
        <v>16</v>
      </c>
    </row>
    <row r="32" spans="1:9" x14ac:dyDescent="0.35">
      <c r="A32" s="2" t="s">
        <v>72</v>
      </c>
      <c r="B32" s="2" t="s">
        <v>97</v>
      </c>
      <c r="C32" s="6">
        <v>6</v>
      </c>
      <c r="D32" s="6">
        <v>15</v>
      </c>
      <c r="E32" s="6">
        <v>30</v>
      </c>
      <c r="F32" s="2" t="s">
        <v>86</v>
      </c>
      <c r="G32" s="2" t="s">
        <v>87</v>
      </c>
      <c r="H32" s="2" t="s">
        <v>96</v>
      </c>
      <c r="I32" s="2" t="s">
        <v>16</v>
      </c>
    </row>
    <row r="33" spans="1:9" x14ac:dyDescent="0.35">
      <c r="A33" s="2" t="s">
        <v>72</v>
      </c>
      <c r="B33" s="2" t="s">
        <v>98</v>
      </c>
      <c r="C33" s="3">
        <v>2</v>
      </c>
      <c r="D33" s="3">
        <v>10</v>
      </c>
      <c r="E33" s="3">
        <v>50</v>
      </c>
      <c r="F33" s="2" t="s">
        <v>99</v>
      </c>
      <c r="G33" s="2" t="s">
        <v>14</v>
      </c>
      <c r="H33" s="2" t="s">
        <v>100</v>
      </c>
      <c r="I33" s="4" t="s">
        <v>16</v>
      </c>
    </row>
    <row r="34" spans="1:9" x14ac:dyDescent="0.35">
      <c r="A34" s="2" t="s">
        <v>72</v>
      </c>
      <c r="B34" s="2" t="s">
        <v>101</v>
      </c>
      <c r="C34" s="6">
        <v>1.5E-3</v>
      </c>
      <c r="D34" s="6">
        <v>0.01</v>
      </c>
      <c r="E34" s="6">
        <v>0.03</v>
      </c>
      <c r="F34" s="2" t="s">
        <v>102</v>
      </c>
      <c r="G34" s="2" t="s">
        <v>87</v>
      </c>
      <c r="H34" s="2" t="s">
        <v>103</v>
      </c>
      <c r="I34" s="2" t="s">
        <v>16</v>
      </c>
    </row>
    <row r="35" spans="1:9" ht="34.5" customHeight="1" x14ac:dyDescent="0.35">
      <c r="A35" s="2" t="s">
        <v>104</v>
      </c>
      <c r="B35" s="2" t="s">
        <v>105</v>
      </c>
      <c r="C35" s="6">
        <v>0</v>
      </c>
      <c r="D35" s="6">
        <v>0</v>
      </c>
      <c r="E35" s="6">
        <v>0</v>
      </c>
      <c r="F35" s="2" t="s">
        <v>106</v>
      </c>
      <c r="G35" s="2" t="s">
        <v>14</v>
      </c>
      <c r="H35" s="2" t="s">
        <v>107</v>
      </c>
      <c r="I35" s="4" t="s">
        <v>108</v>
      </c>
    </row>
    <row r="36" spans="1:9" ht="34.5" customHeight="1" x14ac:dyDescent="0.35">
      <c r="A36" s="2" t="s">
        <v>104</v>
      </c>
      <c r="B36" s="2" t="s">
        <v>109</v>
      </c>
      <c r="C36" s="3">
        <v>0</v>
      </c>
      <c r="D36" s="3">
        <v>0</v>
      </c>
      <c r="E36" s="3">
        <v>0</v>
      </c>
      <c r="F36" s="2" t="s">
        <v>110</v>
      </c>
      <c r="G36" s="2" t="s">
        <v>14</v>
      </c>
      <c r="H36" s="2" t="s">
        <v>107</v>
      </c>
      <c r="I36" s="4" t="s">
        <v>108</v>
      </c>
    </row>
    <row r="37" spans="1:9" ht="34.5" customHeight="1" x14ac:dyDescent="0.35">
      <c r="A37" s="2" t="s">
        <v>104</v>
      </c>
      <c r="B37" s="2" t="s">
        <v>111</v>
      </c>
      <c r="C37" s="3">
        <v>0</v>
      </c>
      <c r="D37" s="3">
        <v>0</v>
      </c>
      <c r="E37" s="3">
        <v>0</v>
      </c>
      <c r="F37" s="2" t="s">
        <v>112</v>
      </c>
      <c r="G37" s="2" t="s">
        <v>14</v>
      </c>
      <c r="H37" s="2" t="s">
        <v>107</v>
      </c>
      <c r="I37" s="4" t="s">
        <v>108</v>
      </c>
    </row>
    <row r="38" spans="1:9" ht="34.5" customHeight="1" x14ac:dyDescent="0.35">
      <c r="A38" s="2" t="s">
        <v>104</v>
      </c>
      <c r="B38" s="2" t="s">
        <v>113</v>
      </c>
      <c r="C38" s="3">
        <v>0</v>
      </c>
      <c r="D38" s="3">
        <v>0</v>
      </c>
      <c r="E38" s="3">
        <v>0</v>
      </c>
      <c r="F38" s="2" t="s">
        <v>110</v>
      </c>
      <c r="G38" s="2" t="s">
        <v>14</v>
      </c>
      <c r="H38" s="2" t="s">
        <v>107</v>
      </c>
      <c r="I38" s="4" t="s">
        <v>108</v>
      </c>
    </row>
    <row r="39" spans="1:9" ht="34.5" customHeight="1" x14ac:dyDescent="0.35">
      <c r="A39" s="2" t="s">
        <v>104</v>
      </c>
      <c r="B39" s="2" t="s">
        <v>114</v>
      </c>
      <c r="C39" s="3">
        <v>0</v>
      </c>
      <c r="D39" s="3">
        <v>0</v>
      </c>
      <c r="E39" s="3">
        <v>0</v>
      </c>
      <c r="F39" s="2" t="s">
        <v>112</v>
      </c>
      <c r="G39" s="2" t="s">
        <v>14</v>
      </c>
      <c r="H39" s="2" t="s">
        <v>107</v>
      </c>
      <c r="I39" s="4" t="s">
        <v>108</v>
      </c>
    </row>
    <row r="40" spans="1:9" ht="34.5" customHeight="1" x14ac:dyDescent="0.35">
      <c r="A40" s="2" t="s">
        <v>104</v>
      </c>
      <c r="B40" s="2" t="s">
        <v>115</v>
      </c>
      <c r="C40" s="3">
        <v>0</v>
      </c>
      <c r="D40" s="3">
        <v>0</v>
      </c>
      <c r="E40" s="3">
        <v>0</v>
      </c>
      <c r="F40" s="2" t="s">
        <v>116</v>
      </c>
      <c r="G40" s="2" t="s">
        <v>14</v>
      </c>
      <c r="H40" s="2" t="s">
        <v>107</v>
      </c>
      <c r="I40" s="4" t="s">
        <v>108</v>
      </c>
    </row>
    <row r="41" spans="1:9" ht="34.5" customHeight="1" x14ac:dyDescent="0.35">
      <c r="A41" s="2" t="s">
        <v>104</v>
      </c>
      <c r="B41" s="2" t="s">
        <v>117</v>
      </c>
      <c r="C41" s="3">
        <v>0</v>
      </c>
      <c r="D41" s="3">
        <v>0</v>
      </c>
      <c r="E41" s="3">
        <v>0</v>
      </c>
      <c r="F41" s="2" t="s">
        <v>118</v>
      </c>
      <c r="G41" s="2" t="s">
        <v>14</v>
      </c>
      <c r="H41" s="2" t="s">
        <v>107</v>
      </c>
      <c r="I41" s="4" t="s">
        <v>108</v>
      </c>
    </row>
    <row r="42" spans="1:9" ht="34.5" customHeight="1" x14ac:dyDescent="0.35">
      <c r="A42" s="2" t="s">
        <v>104</v>
      </c>
      <c r="B42" s="2" t="s">
        <v>119</v>
      </c>
      <c r="C42" s="3">
        <v>0</v>
      </c>
      <c r="D42" s="3">
        <v>0</v>
      </c>
      <c r="E42" s="3">
        <v>0</v>
      </c>
      <c r="F42" s="2" t="s">
        <v>116</v>
      </c>
      <c r="G42" s="2" t="s">
        <v>14</v>
      </c>
      <c r="H42" s="2" t="s">
        <v>107</v>
      </c>
      <c r="I42" s="4" t="s">
        <v>108</v>
      </c>
    </row>
    <row r="43" spans="1:9" ht="34.5" customHeight="1" x14ac:dyDescent="0.35">
      <c r="A43" s="2" t="s">
        <v>104</v>
      </c>
      <c r="B43" s="2" t="s">
        <v>120</v>
      </c>
      <c r="C43" s="3">
        <v>0</v>
      </c>
      <c r="D43" s="3">
        <v>0</v>
      </c>
      <c r="E43" s="3">
        <v>0</v>
      </c>
      <c r="F43" s="2" t="s">
        <v>118</v>
      </c>
      <c r="G43" s="2" t="s">
        <v>14</v>
      </c>
      <c r="H43" s="2" t="s">
        <v>107</v>
      </c>
      <c r="I43" s="4" t="s">
        <v>108</v>
      </c>
    </row>
    <row r="44" spans="1:9" x14ac:dyDescent="0.35">
      <c r="A44" s="2" t="s">
        <v>121</v>
      </c>
      <c r="B44" s="2" t="s">
        <v>122</v>
      </c>
      <c r="C44" s="5">
        <v>0.2</v>
      </c>
      <c r="D44" s="5">
        <v>0.2</v>
      </c>
      <c r="E44" s="5">
        <v>0.3</v>
      </c>
      <c r="F44" s="2" t="s">
        <v>34</v>
      </c>
      <c r="G44" s="2" t="s">
        <v>123</v>
      </c>
      <c r="H44" s="2" t="s">
        <v>124</v>
      </c>
      <c r="I44" s="2" t="s">
        <v>16</v>
      </c>
    </row>
    <row r="45" spans="1:9" x14ac:dyDescent="0.35">
      <c r="A45" s="2" t="s">
        <v>121</v>
      </c>
      <c r="B45" s="2" t="s">
        <v>125</v>
      </c>
      <c r="C45" s="5">
        <v>0.1</v>
      </c>
      <c r="D45" s="5">
        <v>0.15</v>
      </c>
      <c r="E45" s="5">
        <v>0.25</v>
      </c>
      <c r="F45" s="2" t="s">
        <v>34</v>
      </c>
      <c r="G45" s="2" t="s">
        <v>123</v>
      </c>
      <c r="H45" s="2" t="s">
        <v>126</v>
      </c>
      <c r="I45" s="2" t="s">
        <v>16</v>
      </c>
    </row>
    <row r="46" spans="1:9" x14ac:dyDescent="0.35">
      <c r="A46" s="2" t="s">
        <v>121</v>
      </c>
      <c r="B46" s="2" t="s">
        <v>127</v>
      </c>
      <c r="C46" s="5">
        <v>0.75</v>
      </c>
      <c r="D46" s="5">
        <v>0.8</v>
      </c>
      <c r="E46" s="5">
        <v>0.85</v>
      </c>
      <c r="F46" s="2" t="s">
        <v>34</v>
      </c>
      <c r="G46" s="2" t="s">
        <v>123</v>
      </c>
      <c r="H46" s="2" t="s">
        <v>128</v>
      </c>
      <c r="I46" s="2" t="s">
        <v>16</v>
      </c>
    </row>
    <row r="47" spans="1:9" x14ac:dyDescent="0.35">
      <c r="A47" s="2" t="s">
        <v>121</v>
      </c>
      <c r="B47" s="2" t="s">
        <v>129</v>
      </c>
      <c r="C47" s="5">
        <v>0.55000000000000004</v>
      </c>
      <c r="D47" s="5">
        <v>0.65</v>
      </c>
      <c r="E47" s="5">
        <v>0.75</v>
      </c>
      <c r="F47" s="2" t="s">
        <v>34</v>
      </c>
      <c r="G47" s="2" t="s">
        <v>123</v>
      </c>
      <c r="H47" s="2" t="s">
        <v>130</v>
      </c>
      <c r="I47" s="2" t="s">
        <v>16</v>
      </c>
    </row>
    <row r="48" spans="1:9" x14ac:dyDescent="0.35">
      <c r="A48" s="2" t="s">
        <v>121</v>
      </c>
      <c r="B48" s="2" t="s">
        <v>131</v>
      </c>
      <c r="C48" s="5">
        <v>0.45</v>
      </c>
      <c r="D48" s="5">
        <v>0.6</v>
      </c>
      <c r="E48" s="5">
        <v>0.7</v>
      </c>
      <c r="F48" s="2" t="s">
        <v>34</v>
      </c>
      <c r="G48" s="2" t="s">
        <v>123</v>
      </c>
      <c r="H48" s="2" t="s">
        <v>132</v>
      </c>
      <c r="I48" s="2" t="s">
        <v>16</v>
      </c>
    </row>
    <row r="49" spans="1:9" x14ac:dyDescent="0.35">
      <c r="A49" s="2" t="s">
        <v>133</v>
      </c>
      <c r="B49" s="2" t="s">
        <v>134</v>
      </c>
      <c r="C49" s="6">
        <v>149</v>
      </c>
      <c r="D49" s="6">
        <v>249</v>
      </c>
      <c r="E49" s="6">
        <v>499</v>
      </c>
      <c r="F49" s="2" t="s">
        <v>135</v>
      </c>
      <c r="G49" s="2" t="s">
        <v>136</v>
      </c>
      <c r="H49" s="2" t="s">
        <v>137</v>
      </c>
      <c r="I49" s="4" t="s">
        <v>16</v>
      </c>
    </row>
    <row r="50" spans="1:9" x14ac:dyDescent="0.35">
      <c r="A50" s="2" t="s">
        <v>133</v>
      </c>
      <c r="B50" s="2" t="s">
        <v>138</v>
      </c>
      <c r="C50" s="6">
        <v>5</v>
      </c>
      <c r="D50" s="6">
        <v>8</v>
      </c>
      <c r="E50" s="6">
        <v>15</v>
      </c>
      <c r="F50" s="2" t="s">
        <v>139</v>
      </c>
      <c r="G50" s="2" t="s">
        <v>136</v>
      </c>
      <c r="H50" s="2" t="s">
        <v>140</v>
      </c>
      <c r="I50" s="4" t="s">
        <v>16</v>
      </c>
    </row>
    <row r="51" spans="1:9" x14ac:dyDescent="0.35">
      <c r="A51" s="2" t="s">
        <v>133</v>
      </c>
      <c r="B51" s="2" t="s">
        <v>141</v>
      </c>
      <c r="C51" s="6">
        <v>4000</v>
      </c>
      <c r="D51" s="6">
        <v>5000</v>
      </c>
      <c r="E51" s="6">
        <v>8000</v>
      </c>
      <c r="F51" s="2" t="s">
        <v>135</v>
      </c>
      <c r="G51" s="2" t="s">
        <v>136</v>
      </c>
      <c r="H51" s="2" t="s">
        <v>142</v>
      </c>
      <c r="I51" s="4" t="s">
        <v>16</v>
      </c>
    </row>
    <row r="52" spans="1:9" x14ac:dyDescent="0.35">
      <c r="A52" s="2" t="s">
        <v>133</v>
      </c>
      <c r="B52" s="2" t="s">
        <v>143</v>
      </c>
      <c r="C52" s="6">
        <v>30000</v>
      </c>
      <c r="D52" s="6">
        <v>40000</v>
      </c>
      <c r="E52" s="6">
        <v>75000</v>
      </c>
      <c r="F52" s="2" t="s">
        <v>144</v>
      </c>
      <c r="G52" s="2" t="s">
        <v>136</v>
      </c>
      <c r="H52" s="2" t="s">
        <v>145</v>
      </c>
      <c r="I52" s="4" t="s">
        <v>16</v>
      </c>
    </row>
  </sheetData>
  <autoFilter ref="A4:I52" xr:uid="{00000000-0009-0000-0000-000000000000}"/>
  <mergeCells count="2">
    <mergeCell ref="A1:I1"/>
    <mergeCell ref="A2:I2"/>
  </mergeCells>
  <pageMargins left="0.25" right="0.25" top="0.5" bottom="0.5" header="0.5" footer="0.5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5"/>
  <sheetViews>
    <sheetView showGridLines="0" workbookViewId="0">
      <pane ySplit="4" topLeftCell="A5" activePane="bottomLeft" state="frozen"/>
      <selection pane="bottomLeft"/>
    </sheetView>
  </sheetViews>
  <sheetFormatPr defaultRowHeight="14.5" x14ac:dyDescent="0.35"/>
  <cols>
    <col min="1" max="1" width="20" customWidth="1"/>
    <col min="2" max="2" width="28" customWidth="1"/>
    <col min="3" max="4" width="34" customWidth="1"/>
    <col min="5" max="5" width="44" customWidth="1"/>
    <col min="6" max="6" width="34" customWidth="1"/>
    <col min="7" max="7" width="46" customWidth="1"/>
    <col min="8" max="8" width="32" customWidth="1"/>
    <col min="9" max="9" width="14" customWidth="1"/>
  </cols>
  <sheetData>
    <row r="1" spans="1:9" ht="26" customHeight="1" x14ac:dyDescent="0.35">
      <c r="A1" s="41" t="s">
        <v>1162</v>
      </c>
      <c r="B1" s="42"/>
      <c r="C1" s="42"/>
      <c r="D1" s="42"/>
      <c r="E1" s="42"/>
      <c r="F1" s="42"/>
      <c r="G1" s="42"/>
      <c r="H1" s="42"/>
      <c r="I1" s="42"/>
    </row>
    <row r="2" spans="1:9" ht="30" customHeight="1" x14ac:dyDescent="0.35">
      <c r="A2" s="43" t="s">
        <v>1163</v>
      </c>
      <c r="B2" s="42"/>
      <c r="C2" s="42"/>
      <c r="D2" s="42"/>
      <c r="E2" s="42"/>
      <c r="F2" s="42"/>
      <c r="G2" s="42"/>
      <c r="H2" s="42"/>
      <c r="I2" s="42"/>
    </row>
    <row r="4" spans="1:9" ht="28" customHeight="1" x14ac:dyDescent="0.35">
      <c r="A4" s="1" t="s">
        <v>1164</v>
      </c>
      <c r="B4" s="1" t="s">
        <v>1165</v>
      </c>
      <c r="C4" s="1" t="s">
        <v>1166</v>
      </c>
      <c r="D4" s="1" t="s">
        <v>1167</v>
      </c>
      <c r="E4" s="1" t="s">
        <v>1168</v>
      </c>
      <c r="F4" s="1" t="s">
        <v>1169</v>
      </c>
      <c r="G4" s="1" t="s">
        <v>1170</v>
      </c>
      <c r="H4" s="1" t="s">
        <v>1171</v>
      </c>
      <c r="I4" s="1" t="s">
        <v>8</v>
      </c>
    </row>
    <row r="5" spans="1:9" ht="23" customHeight="1" x14ac:dyDescent="0.35">
      <c r="A5" s="2" t="s">
        <v>1172</v>
      </c>
      <c r="B5" s="2" t="s">
        <v>1173</v>
      </c>
      <c r="C5" s="2" t="s">
        <v>1174</v>
      </c>
      <c r="D5" s="2" t="s">
        <v>1175</v>
      </c>
      <c r="E5" s="2" t="s">
        <v>1176</v>
      </c>
      <c r="F5" s="2" t="s">
        <v>1177</v>
      </c>
      <c r="G5" s="2" t="s">
        <v>1178</v>
      </c>
      <c r="H5" s="7" t="s">
        <v>1179</v>
      </c>
      <c r="I5" s="2" t="s">
        <v>166</v>
      </c>
    </row>
    <row r="6" spans="1:9" ht="23" customHeight="1" x14ac:dyDescent="0.35">
      <c r="A6" s="2" t="s">
        <v>1180</v>
      </c>
      <c r="B6" s="2" t="s">
        <v>1181</v>
      </c>
      <c r="C6" s="2" t="s">
        <v>1182</v>
      </c>
      <c r="D6" s="2" t="s">
        <v>1183</v>
      </c>
      <c r="E6" s="2" t="s">
        <v>1184</v>
      </c>
      <c r="F6" s="2" t="s">
        <v>1185</v>
      </c>
      <c r="G6" s="2" t="s">
        <v>1186</v>
      </c>
      <c r="H6" s="7" t="s">
        <v>1187</v>
      </c>
      <c r="I6" s="2" t="s">
        <v>14</v>
      </c>
    </row>
    <row r="7" spans="1:9" ht="23" customHeight="1" x14ac:dyDescent="0.35">
      <c r="A7" s="2" t="s">
        <v>1188</v>
      </c>
      <c r="B7" s="2" t="s">
        <v>1189</v>
      </c>
      <c r="C7" s="2" t="s">
        <v>1190</v>
      </c>
      <c r="D7" s="2" t="s">
        <v>1191</v>
      </c>
      <c r="E7" s="2" t="s">
        <v>1192</v>
      </c>
      <c r="F7" s="2" t="s">
        <v>1193</v>
      </c>
      <c r="G7" s="2" t="s">
        <v>1194</v>
      </c>
      <c r="H7" s="7" t="s">
        <v>167</v>
      </c>
      <c r="I7" s="2" t="s">
        <v>166</v>
      </c>
    </row>
    <row r="8" spans="1:9" ht="23" customHeight="1" x14ac:dyDescent="0.35">
      <c r="A8" s="2" t="s">
        <v>1195</v>
      </c>
      <c r="B8" s="2" t="s">
        <v>1196</v>
      </c>
      <c r="C8" s="2" t="s">
        <v>1197</v>
      </c>
      <c r="D8" s="2" t="s">
        <v>1198</v>
      </c>
      <c r="E8" s="2" t="s">
        <v>1199</v>
      </c>
      <c r="F8" s="2" t="s">
        <v>1200</v>
      </c>
      <c r="G8" s="2" t="s">
        <v>1201</v>
      </c>
      <c r="H8" s="7" t="s">
        <v>237</v>
      </c>
      <c r="I8" s="2" t="s">
        <v>166</v>
      </c>
    </row>
    <row r="9" spans="1:9" ht="23" customHeight="1" x14ac:dyDescent="0.35">
      <c r="A9" s="2" t="s">
        <v>1202</v>
      </c>
      <c r="B9" s="2" t="s">
        <v>364</v>
      </c>
      <c r="C9" s="2" t="s">
        <v>1203</v>
      </c>
      <c r="D9" s="2" t="s">
        <v>1204</v>
      </c>
      <c r="E9" s="2" t="s">
        <v>1205</v>
      </c>
      <c r="F9" s="2" t="s">
        <v>1206</v>
      </c>
      <c r="G9" s="2" t="s">
        <v>1207</v>
      </c>
      <c r="H9" s="7" t="s">
        <v>230</v>
      </c>
      <c r="I9" s="2" t="s">
        <v>166</v>
      </c>
    </row>
    <row r="10" spans="1:9" ht="23" customHeight="1" x14ac:dyDescent="0.35">
      <c r="A10" s="2" t="s">
        <v>238</v>
      </c>
      <c r="B10" s="2" t="s">
        <v>1208</v>
      </c>
      <c r="C10" s="2" t="s">
        <v>1209</v>
      </c>
      <c r="D10" s="2" t="s">
        <v>1210</v>
      </c>
      <c r="E10" s="2" t="s">
        <v>1211</v>
      </c>
      <c r="F10" s="2" t="s">
        <v>1212</v>
      </c>
      <c r="G10" s="2" t="s">
        <v>1213</v>
      </c>
      <c r="H10" s="7" t="s">
        <v>244</v>
      </c>
      <c r="I10" s="2" t="s">
        <v>166</v>
      </c>
    </row>
    <row r="11" spans="1:9" ht="23" customHeight="1" x14ac:dyDescent="0.35">
      <c r="A11" s="2" t="s">
        <v>256</v>
      </c>
      <c r="B11" s="2" t="s">
        <v>1214</v>
      </c>
      <c r="C11" s="2" t="s">
        <v>1215</v>
      </c>
      <c r="D11" s="2" t="s">
        <v>1216</v>
      </c>
      <c r="E11" s="2" t="s">
        <v>1217</v>
      </c>
      <c r="F11" s="2" t="s">
        <v>1218</v>
      </c>
      <c r="G11" s="2" t="s">
        <v>1219</v>
      </c>
      <c r="H11" s="7" t="s">
        <v>263</v>
      </c>
      <c r="I11" s="2" t="s">
        <v>166</v>
      </c>
    </row>
    <row r="12" spans="1:9" ht="23" customHeight="1" x14ac:dyDescent="0.35">
      <c r="A12" s="2" t="s">
        <v>1220</v>
      </c>
      <c r="B12" s="2" t="s">
        <v>1221</v>
      </c>
      <c r="C12" s="2" t="s">
        <v>1222</v>
      </c>
      <c r="D12" s="2" t="s">
        <v>1223</v>
      </c>
      <c r="E12" s="2" t="s">
        <v>1224</v>
      </c>
      <c r="F12" s="2" t="s">
        <v>1225</v>
      </c>
      <c r="G12" s="2" t="s">
        <v>1226</v>
      </c>
      <c r="H12" s="7" t="s">
        <v>276</v>
      </c>
      <c r="I12" s="2" t="s">
        <v>166</v>
      </c>
    </row>
    <row r="13" spans="1:9" ht="23" customHeight="1" x14ac:dyDescent="0.35">
      <c r="A13" s="2" t="s">
        <v>72</v>
      </c>
      <c r="B13" s="2" t="s">
        <v>1227</v>
      </c>
      <c r="C13" s="2" t="s">
        <v>1228</v>
      </c>
      <c r="D13" s="2" t="s">
        <v>1229</v>
      </c>
      <c r="E13" s="2" t="s">
        <v>1230</v>
      </c>
      <c r="F13" s="2" t="s">
        <v>1231</v>
      </c>
      <c r="G13" s="2" t="s">
        <v>1232</v>
      </c>
      <c r="H13" s="7" t="s">
        <v>383</v>
      </c>
      <c r="I13" s="2" t="s">
        <v>166</v>
      </c>
    </row>
    <row r="14" spans="1:9" ht="23" customHeight="1" x14ac:dyDescent="0.35">
      <c r="A14" s="2" t="s">
        <v>928</v>
      </c>
      <c r="B14" s="2" t="s">
        <v>1233</v>
      </c>
      <c r="C14" s="2" t="s">
        <v>1234</v>
      </c>
      <c r="D14" s="2" t="s">
        <v>1235</v>
      </c>
      <c r="E14" s="2" t="s">
        <v>1236</v>
      </c>
      <c r="F14" s="2" t="s">
        <v>1237</v>
      </c>
      <c r="G14" s="2" t="s">
        <v>1238</v>
      </c>
      <c r="H14" s="7" t="s">
        <v>351</v>
      </c>
      <c r="I14" s="2" t="s">
        <v>166</v>
      </c>
    </row>
    <row r="15" spans="1:9" ht="34.5" customHeight="1" x14ac:dyDescent="0.35">
      <c r="A15" s="2" t="s">
        <v>1239</v>
      </c>
      <c r="B15" s="2" t="s">
        <v>1097</v>
      </c>
      <c r="C15" s="2" t="s">
        <v>1240</v>
      </c>
      <c r="D15" s="2" t="s">
        <v>1241</v>
      </c>
      <c r="E15" s="2" t="s">
        <v>1242</v>
      </c>
      <c r="F15" s="2" t="s">
        <v>1243</v>
      </c>
      <c r="G15" s="2" t="s">
        <v>1244</v>
      </c>
      <c r="H15" s="7" t="s">
        <v>414</v>
      </c>
      <c r="I15" s="2" t="s">
        <v>166</v>
      </c>
    </row>
  </sheetData>
  <mergeCells count="2">
    <mergeCell ref="A1:I1"/>
    <mergeCell ref="A2:I2"/>
  </mergeCells>
  <hyperlinks>
    <hyperlink ref="H5" r:id="rId1" xr:uid="{00000000-0004-0000-0900-000000000000}"/>
    <hyperlink ref="H6" r:id="rId2" xr:uid="{00000000-0004-0000-0900-000001000000}"/>
    <hyperlink ref="H7" r:id="rId3" xr:uid="{00000000-0004-0000-0900-000002000000}"/>
    <hyperlink ref="H8" r:id="rId4" xr:uid="{00000000-0004-0000-0900-000003000000}"/>
    <hyperlink ref="H9" r:id="rId5" xr:uid="{00000000-0004-0000-0900-000004000000}"/>
    <hyperlink ref="H10" r:id="rId6" xr:uid="{00000000-0004-0000-0900-000005000000}"/>
    <hyperlink ref="H11" r:id="rId7" xr:uid="{00000000-0004-0000-0900-000006000000}"/>
    <hyperlink ref="H12" r:id="rId8" xr:uid="{00000000-0004-0000-0900-000007000000}"/>
    <hyperlink ref="H13" r:id="rId9" xr:uid="{00000000-0004-0000-0900-000008000000}"/>
    <hyperlink ref="H14" r:id="rId10" xr:uid="{00000000-0004-0000-0900-000009000000}"/>
    <hyperlink ref="H15" r:id="rId11" xr:uid="{00000000-0004-0000-0900-00000A000000}"/>
  </hyperlinks>
  <pageMargins left="0.25" right="0.25" top="0.5" bottom="0.5" header="0.5" footer="0.5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0"/>
  <sheetViews>
    <sheetView showGridLines="0" workbookViewId="0"/>
  </sheetViews>
  <sheetFormatPr defaultRowHeight="14.5" x14ac:dyDescent="0.35"/>
  <cols>
    <col min="1" max="1" width="32" customWidth="1"/>
    <col min="2" max="2" width="52" customWidth="1"/>
    <col min="3" max="3" width="22" customWidth="1"/>
    <col min="4" max="4" width="62" customWidth="1"/>
    <col min="5" max="5" width="18" customWidth="1"/>
  </cols>
  <sheetData>
    <row r="1" spans="1:5" ht="26" customHeight="1" x14ac:dyDescent="0.35">
      <c r="A1" s="41" t="s">
        <v>1245</v>
      </c>
      <c r="B1" s="42"/>
      <c r="C1" s="42"/>
      <c r="D1" s="42"/>
      <c r="E1" s="42"/>
    </row>
    <row r="2" spans="1:5" ht="30" customHeight="1" x14ac:dyDescent="0.35">
      <c r="A2" s="43" t="s">
        <v>1246</v>
      </c>
      <c r="B2" s="42"/>
      <c r="C2" s="42"/>
      <c r="D2" s="42"/>
      <c r="E2" s="42"/>
    </row>
    <row r="4" spans="1:5" ht="28" customHeight="1" x14ac:dyDescent="0.35">
      <c r="A4" s="1" t="s">
        <v>1247</v>
      </c>
      <c r="B4" s="1" t="s">
        <v>1248</v>
      </c>
      <c r="C4" s="1" t="s">
        <v>1249</v>
      </c>
      <c r="D4" s="1" t="s">
        <v>1250</v>
      </c>
      <c r="E4" s="1" t="s">
        <v>657</v>
      </c>
    </row>
    <row r="5" spans="1:5" x14ac:dyDescent="0.35">
      <c r="A5" s="2" t="s">
        <v>1251</v>
      </c>
      <c r="B5" s="12">
        <f>MIN('Unit Economics'!N5:P11)</f>
        <v>0</v>
      </c>
      <c r="C5" s="12">
        <f>MIN('Unit Economics'!N5:P11)</f>
        <v>0</v>
      </c>
      <c r="D5" s="2" t="s">
        <v>1252</v>
      </c>
      <c r="E5" s="12" t="str">
        <f>IF(C5&gt;=0,"PASS","FAIL")</f>
        <v>PASS</v>
      </c>
    </row>
    <row r="6" spans="1:5" x14ac:dyDescent="0.35">
      <c r="A6" s="2" t="s">
        <v>1253</v>
      </c>
      <c r="B6" s="12">
        <f>MAX(ABS('Unit Economics'!P5-'Unit Economics'!N5),ABS('Unit Economics'!P6-'Unit Economics'!N6),ABS('Unit Economics'!P7-'Unit Economics'!N7))</f>
        <v>0</v>
      </c>
      <c r="C6" s="12">
        <f>MAX(ABS('Unit Economics'!P5-'Unit Economics'!N5),ABS('Unit Economics'!P6-'Unit Economics'!N6),ABS('Unit Economics'!P7-'Unit Economics'!N7))</f>
        <v>0</v>
      </c>
      <c r="D6" s="2" t="s">
        <v>1254</v>
      </c>
      <c r="E6" s="12" t="str">
        <f>IF(C6&lt;0.01,"PASS","FAIL")</f>
        <v>PASS</v>
      </c>
    </row>
    <row r="7" spans="1:5" x14ac:dyDescent="0.35">
      <c r="A7" s="2" t="s">
        <v>1255</v>
      </c>
      <c r="B7" s="12">
        <f>MIN('Unit Economics'!T5-'Unit Economics'!P5,'Unit Economics'!T6-'Unit Economics'!P6,'Unit Economics'!T7-'Unit Economics'!P7,'Unit Economics'!T8-'Unit Economics'!P8,'Unit Economics'!T9-'Unit Economics'!P9,'Unit Economics'!T10-'Unit Economics'!P10,'Unit Economics'!T11-'Unit Economics'!P11)</f>
        <v>165.60000000000002</v>
      </c>
      <c r="C7" s="12">
        <f>MIN('Unit Economics'!T5-'Unit Economics'!P5,'Unit Economics'!T6-'Unit Economics'!P6,'Unit Economics'!T7-'Unit Economics'!P7,'Unit Economics'!T8-'Unit Economics'!P8,'Unit Economics'!T9-'Unit Economics'!P9,'Unit Economics'!T10-'Unit Economics'!P10,'Unit Economics'!T11-'Unit Economics'!P11)</f>
        <v>165.60000000000002</v>
      </c>
      <c r="D7" s="2" t="s">
        <v>1256</v>
      </c>
      <c r="E7" s="12" t="str">
        <f>IF(C7&gt;=0,"PASS","FAIL")</f>
        <v>PASS</v>
      </c>
    </row>
    <row r="8" spans="1:5" x14ac:dyDescent="0.35">
      <c r="A8" s="2" t="s">
        <v>1257</v>
      </c>
      <c r="B8" s="12">
        <f>INDEX(Assumptions!$C$44:$E$44,1,MATCH("Base",Assumptions!$C$4:$E$4,0))</f>
        <v>0.2</v>
      </c>
      <c r="C8" s="12">
        <f>INDEX(Assumptions!$C$44:$E$44,1,MATCH("Base",Assumptions!$C$4:$E$4,0))</f>
        <v>0.2</v>
      </c>
      <c r="D8" s="2" t="s">
        <v>1258</v>
      </c>
      <c r="E8" s="12" t="str">
        <f>IF(C8&gt;=20%,"PASS","FAIL")</f>
        <v>PASS</v>
      </c>
    </row>
    <row r="9" spans="1:5" x14ac:dyDescent="0.35">
      <c r="A9" s="2" t="s">
        <v>1259</v>
      </c>
      <c r="B9" s="12">
        <f>INDEX(Assumptions!$C$45:$E$45,1,MATCH("Base",Assumptions!$C$4:$E$4,0))</f>
        <v>0.15</v>
      </c>
      <c r="C9" s="12">
        <f>INDEX(Assumptions!$C$45:$E$45,1,MATCH("Base",Assumptions!$C$4:$E$4,0))</f>
        <v>0.15</v>
      </c>
      <c r="D9" s="2" t="s">
        <v>1260</v>
      </c>
      <c r="E9" s="12" t="str">
        <f>IF(C9&gt;0,"PASS","FAIL")</f>
        <v>PASS</v>
      </c>
    </row>
    <row r="10" spans="1:5" x14ac:dyDescent="0.35">
      <c r="A10" s="2" t="s">
        <v>1261</v>
      </c>
      <c r="B10" s="12">
        <f>'Unit Economics'!C5</f>
        <v>4</v>
      </c>
      <c r="C10" s="12">
        <f>'Unit Economics'!C5</f>
        <v>4</v>
      </c>
      <c r="D10" s="2" t="s">
        <v>1262</v>
      </c>
      <c r="E10" s="12" t="str">
        <f>IF(C10=4,"PASS","FAIL")</f>
        <v>PASS</v>
      </c>
    </row>
    <row r="11" spans="1:5" x14ac:dyDescent="0.35">
      <c r="A11" s="2" t="s">
        <v>1263</v>
      </c>
      <c r="B11" s="12">
        <f>'Unit Economics'!C6</f>
        <v>120</v>
      </c>
      <c r="C11" s="12">
        <f>'Unit Economics'!C6</f>
        <v>120</v>
      </c>
      <c r="D11" s="2" t="s">
        <v>1264</v>
      </c>
      <c r="E11" s="12" t="str">
        <f>IF(C11=120,"PASS","FAIL")</f>
        <v>PASS</v>
      </c>
    </row>
    <row r="12" spans="1:5" ht="23" customHeight="1" x14ac:dyDescent="0.35">
      <c r="A12" s="2" t="s">
        <v>1265</v>
      </c>
      <c r="B12" s="12">
        <f>MAX('Unit Economics'!O5:O11)</f>
        <v>0</v>
      </c>
      <c r="C12" s="12">
        <f>MAX('Unit Economics'!O5:O11)</f>
        <v>0</v>
      </c>
      <c r="D12" s="2" t="s">
        <v>1266</v>
      </c>
      <c r="E12" s="12" t="str">
        <f>IF(C12=0,"PASS","FAIL")</f>
        <v>PASS</v>
      </c>
    </row>
    <row r="13" spans="1:5" ht="23" customHeight="1" x14ac:dyDescent="0.35">
      <c r="A13" s="2" t="s">
        <v>1267</v>
      </c>
      <c r="B13" s="2" t="s">
        <v>1268</v>
      </c>
      <c r="C13" s="2" t="s">
        <v>1268</v>
      </c>
      <c r="D13" s="2" t="s">
        <v>1269</v>
      </c>
      <c r="E13" s="2" t="s">
        <v>1270</v>
      </c>
    </row>
    <row r="14" spans="1:5" ht="46" customHeight="1" x14ac:dyDescent="0.35">
      <c r="A14" s="2" t="s">
        <v>1271</v>
      </c>
      <c r="B14" s="2" t="s">
        <v>1272</v>
      </c>
      <c r="C14" s="2" t="s">
        <v>1272</v>
      </c>
      <c r="D14" s="2" t="s">
        <v>1273</v>
      </c>
      <c r="E14" s="2" t="s">
        <v>1270</v>
      </c>
    </row>
    <row r="16" spans="1:5" ht="46" customHeight="1" x14ac:dyDescent="0.35">
      <c r="A16" s="2" t="s">
        <v>1274</v>
      </c>
      <c r="B16" s="6">
        <f>'COGS Matrix'!L47</f>
        <v>42.45</v>
      </c>
      <c r="C16" s="6">
        <f>'Scenario Calculator'!B44</f>
        <v>42.45</v>
      </c>
      <c r="D16" s="6">
        <f>B16-C16</f>
        <v>0</v>
      </c>
      <c r="E16" s="2" t="str">
        <f>IF(ABS(D16)&lt;0.01,"PASS","FAIL")</f>
        <v>PASS</v>
      </c>
    </row>
    <row r="17" spans="1:5" ht="46" customHeight="1" x14ac:dyDescent="0.35">
      <c r="A17" s="2" t="s">
        <v>1275</v>
      </c>
      <c r="B17" s="6">
        <f>'COGS Matrix'!M49</f>
        <v>58.580999999999996</v>
      </c>
      <c r="C17" s="6">
        <f>'Scenario Calculator'!B45</f>
        <v>58.580999999999996</v>
      </c>
      <c r="D17" s="6">
        <f>B17-C17</f>
        <v>0</v>
      </c>
      <c r="E17" s="2" t="str">
        <f>IF(ABS(D17)&lt;0.01,"PASS","FAIL")</f>
        <v>PASS</v>
      </c>
    </row>
    <row r="18" spans="1:5" ht="46" customHeight="1" x14ac:dyDescent="0.35">
      <c r="A18" s="2" t="s">
        <v>1276</v>
      </c>
      <c r="B18" s="6">
        <f>'Scenario Calculator'!B44</f>
        <v>42.45</v>
      </c>
      <c r="C18" s="6">
        <v>42.45</v>
      </c>
      <c r="D18" s="6">
        <f>B18-C18</f>
        <v>0</v>
      </c>
      <c r="E18" s="2" t="str">
        <f>IF(ABS(D18)&lt;0.02,"PASS","FAIL")</f>
        <v>PASS</v>
      </c>
    </row>
    <row r="19" spans="1:5" ht="46" customHeight="1" x14ac:dyDescent="0.35">
      <c r="A19" s="2" t="s">
        <v>1277</v>
      </c>
      <c r="B19" s="6">
        <f>'Scenario Calculator'!B52</f>
        <v>0</v>
      </c>
      <c r="C19" s="6">
        <v>0</v>
      </c>
      <c r="D19" s="6">
        <f>B19-C19</f>
        <v>0</v>
      </c>
      <c r="E19" s="2" t="str">
        <f>IF(D19=0,"PASS","FAIL")</f>
        <v>PASS</v>
      </c>
    </row>
    <row r="20" spans="1:5" ht="46" customHeight="1" x14ac:dyDescent="0.35">
      <c r="A20" s="2" t="s">
        <v>1278</v>
      </c>
      <c r="B20" s="40">
        <f>'Scenario Calculator'!B46</f>
        <v>5</v>
      </c>
      <c r="C20" s="40">
        <v>1</v>
      </c>
      <c r="D20" s="40">
        <f>B20-C20</f>
        <v>4</v>
      </c>
      <c r="E20" s="2" t="str">
        <f>IF(B20&gt;=C20,"PASS","FAIL")</f>
        <v>PASS</v>
      </c>
    </row>
  </sheetData>
  <mergeCells count="2">
    <mergeCell ref="A2:E2"/>
    <mergeCell ref="A1:E1"/>
  </mergeCells>
  <conditionalFormatting sqref="E5:E14">
    <cfRule type="cellIs" dxfId="0" priority="1" operator="equal">
      <formula>"FAIL"</formula>
    </cfRule>
  </conditionalFormatting>
  <pageMargins left="0.25" right="0.25" top="0.5" bottom="0.5" header="0.5" footer="0.5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showGridLines="0" workbookViewId="0">
      <pane ySplit="4" topLeftCell="A5" activePane="bottomLeft" state="frozen"/>
      <selection pane="bottomLeft"/>
    </sheetView>
  </sheetViews>
  <sheetFormatPr defaultRowHeight="14.5" x14ac:dyDescent="0.35"/>
  <cols>
    <col min="1" max="1" width="14" customWidth="1"/>
    <col min="2" max="2" width="25" customWidth="1"/>
    <col min="3" max="3" width="20" customWidth="1"/>
    <col min="4" max="5" width="28" customWidth="1"/>
    <col min="6" max="6" width="30" customWidth="1"/>
    <col min="7" max="7" width="54" customWidth="1"/>
    <col min="8" max="8" width="12" customWidth="1"/>
    <col min="9" max="9" width="18" customWidth="1"/>
    <col min="10" max="10" width="32" customWidth="1"/>
    <col min="11" max="11" width="13" customWidth="1"/>
  </cols>
  <sheetData>
    <row r="1" spans="1:11" ht="26" customHeight="1" x14ac:dyDescent="0.35">
      <c r="A1" s="41" t="s">
        <v>146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30" customHeight="1" x14ac:dyDescent="0.35">
      <c r="A2" s="43" t="s">
        <v>147</v>
      </c>
      <c r="B2" s="42"/>
      <c r="C2" s="42"/>
      <c r="D2" s="42"/>
      <c r="E2" s="42"/>
      <c r="F2" s="42"/>
      <c r="G2" s="42"/>
      <c r="H2" s="42"/>
      <c r="I2" s="42"/>
      <c r="J2" s="42"/>
    </row>
    <row r="4" spans="1:11" ht="34" customHeight="1" x14ac:dyDescent="0.35">
      <c r="A4" s="17" t="s">
        <v>148</v>
      </c>
      <c r="B4" s="17" t="s">
        <v>149</v>
      </c>
      <c r="C4" s="17" t="s">
        <v>150</v>
      </c>
      <c r="D4" s="17" t="s">
        <v>151</v>
      </c>
      <c r="E4" s="17" t="s">
        <v>152</v>
      </c>
      <c r="F4" s="17" t="s">
        <v>153</v>
      </c>
      <c r="G4" s="17" t="s">
        <v>154</v>
      </c>
      <c r="H4" s="17" t="s">
        <v>155</v>
      </c>
      <c r="I4" s="17" t="s">
        <v>8</v>
      </c>
      <c r="J4" s="17" t="s">
        <v>156</v>
      </c>
      <c r="K4" s="17" t="s">
        <v>157</v>
      </c>
    </row>
    <row r="5" spans="1:11" ht="23" customHeight="1" x14ac:dyDescent="0.35">
      <c r="A5" s="2" t="s">
        <v>158</v>
      </c>
      <c r="B5" s="2" t="s">
        <v>159</v>
      </c>
      <c r="C5" s="2" t="s">
        <v>160</v>
      </c>
      <c r="D5" s="2" t="s">
        <v>161</v>
      </c>
      <c r="E5" s="2" t="s">
        <v>162</v>
      </c>
      <c r="F5" s="2" t="s">
        <v>163</v>
      </c>
      <c r="G5" s="2" t="s">
        <v>164</v>
      </c>
      <c r="H5" s="2" t="s">
        <v>165</v>
      </c>
      <c r="I5" s="2" t="s">
        <v>166</v>
      </c>
      <c r="J5" s="7" t="s">
        <v>167</v>
      </c>
      <c r="K5" s="18" t="s">
        <v>168</v>
      </c>
    </row>
    <row r="6" spans="1:11" ht="23" customHeight="1" x14ac:dyDescent="0.35">
      <c r="A6" s="2" t="s">
        <v>158</v>
      </c>
      <c r="B6" s="2" t="s">
        <v>169</v>
      </c>
      <c r="C6" s="2" t="s">
        <v>170</v>
      </c>
      <c r="D6" s="2" t="s">
        <v>171</v>
      </c>
      <c r="E6" s="2" t="s">
        <v>172</v>
      </c>
      <c r="F6" s="2" t="s">
        <v>173</v>
      </c>
      <c r="G6" s="2" t="s">
        <v>174</v>
      </c>
      <c r="H6" s="2" t="s">
        <v>173</v>
      </c>
      <c r="I6" s="2" t="s">
        <v>166</v>
      </c>
      <c r="J6" s="7" t="s">
        <v>175</v>
      </c>
      <c r="K6" s="18" t="s">
        <v>168</v>
      </c>
    </row>
    <row r="7" spans="1:11" ht="23" customHeight="1" x14ac:dyDescent="0.35">
      <c r="A7" s="2" t="s">
        <v>158</v>
      </c>
      <c r="B7" s="2" t="s">
        <v>176</v>
      </c>
      <c r="C7" s="2" t="s">
        <v>177</v>
      </c>
      <c r="D7" s="2" t="s">
        <v>178</v>
      </c>
      <c r="E7" s="2" t="s">
        <v>179</v>
      </c>
      <c r="F7" s="2" t="s">
        <v>180</v>
      </c>
      <c r="G7" s="2" t="s">
        <v>181</v>
      </c>
      <c r="H7" s="2" t="s">
        <v>165</v>
      </c>
      <c r="I7" s="2" t="s">
        <v>166</v>
      </c>
      <c r="J7" s="7" t="s">
        <v>182</v>
      </c>
      <c r="K7" s="18" t="s">
        <v>168</v>
      </c>
    </row>
    <row r="8" spans="1:11" ht="23" customHeight="1" x14ac:dyDescent="0.35">
      <c r="A8" s="2" t="s">
        <v>158</v>
      </c>
      <c r="B8" s="2" t="s">
        <v>183</v>
      </c>
      <c r="C8" s="2" t="s">
        <v>184</v>
      </c>
      <c r="D8" s="2" t="s">
        <v>185</v>
      </c>
      <c r="E8" s="2" t="s">
        <v>186</v>
      </c>
      <c r="F8" s="2" t="s">
        <v>187</v>
      </c>
      <c r="G8" s="2" t="s">
        <v>188</v>
      </c>
      <c r="H8" s="2" t="s">
        <v>165</v>
      </c>
      <c r="I8" s="2" t="s">
        <v>166</v>
      </c>
      <c r="J8" s="7" t="s">
        <v>189</v>
      </c>
      <c r="K8" s="18" t="s">
        <v>168</v>
      </c>
    </row>
    <row r="9" spans="1:11" ht="23" customHeight="1" x14ac:dyDescent="0.35">
      <c r="A9" s="2" t="s">
        <v>158</v>
      </c>
      <c r="B9" s="2" t="s">
        <v>190</v>
      </c>
      <c r="C9" s="2" t="s">
        <v>184</v>
      </c>
      <c r="D9" s="2" t="s">
        <v>191</v>
      </c>
      <c r="E9" s="2" t="s">
        <v>192</v>
      </c>
      <c r="F9" s="2" t="s">
        <v>193</v>
      </c>
      <c r="G9" s="2" t="s">
        <v>194</v>
      </c>
      <c r="H9" s="2" t="s">
        <v>165</v>
      </c>
      <c r="I9" s="2" t="s">
        <v>166</v>
      </c>
      <c r="J9" s="7" t="s">
        <v>189</v>
      </c>
      <c r="K9" s="18" t="s">
        <v>168</v>
      </c>
    </row>
    <row r="10" spans="1:11" ht="23" customHeight="1" x14ac:dyDescent="0.35">
      <c r="A10" s="2" t="s">
        <v>158</v>
      </c>
      <c r="B10" s="2" t="s">
        <v>195</v>
      </c>
      <c r="C10" s="2" t="s">
        <v>196</v>
      </c>
      <c r="D10" s="2" t="s">
        <v>197</v>
      </c>
      <c r="E10" s="2" t="s">
        <v>198</v>
      </c>
      <c r="F10" s="2" t="s">
        <v>199</v>
      </c>
      <c r="G10" s="2" t="s">
        <v>200</v>
      </c>
      <c r="H10" s="2" t="s">
        <v>165</v>
      </c>
      <c r="I10" s="2" t="s">
        <v>166</v>
      </c>
      <c r="J10" s="7" t="s">
        <v>201</v>
      </c>
      <c r="K10" s="18" t="s">
        <v>168</v>
      </c>
    </row>
    <row r="11" spans="1:11" ht="34.5" customHeight="1" x14ac:dyDescent="0.35">
      <c r="A11" s="2" t="s">
        <v>158</v>
      </c>
      <c r="B11" s="2" t="s">
        <v>202</v>
      </c>
      <c r="C11" s="2" t="s">
        <v>203</v>
      </c>
      <c r="D11" s="2" t="s">
        <v>204</v>
      </c>
      <c r="E11" s="2" t="s">
        <v>205</v>
      </c>
      <c r="F11" s="2" t="s">
        <v>206</v>
      </c>
      <c r="G11" s="2" t="s">
        <v>207</v>
      </c>
      <c r="H11" s="2" t="s">
        <v>165</v>
      </c>
      <c r="I11" s="2" t="s">
        <v>166</v>
      </c>
      <c r="J11" s="7" t="s">
        <v>208</v>
      </c>
      <c r="K11" s="18" t="s">
        <v>168</v>
      </c>
    </row>
    <row r="12" spans="1:11" ht="23" customHeight="1" x14ac:dyDescent="0.35">
      <c r="A12" s="2" t="s">
        <v>158</v>
      </c>
      <c r="B12" s="2" t="s">
        <v>209</v>
      </c>
      <c r="C12" s="2" t="s">
        <v>210</v>
      </c>
      <c r="D12" s="2" t="s">
        <v>211</v>
      </c>
      <c r="E12" s="2" t="s">
        <v>212</v>
      </c>
      <c r="F12" s="2" t="s">
        <v>213</v>
      </c>
      <c r="G12" s="2" t="s">
        <v>214</v>
      </c>
      <c r="H12" s="2" t="s">
        <v>165</v>
      </c>
      <c r="I12" s="2" t="s">
        <v>166</v>
      </c>
      <c r="J12" s="7" t="s">
        <v>215</v>
      </c>
      <c r="K12" s="18" t="s">
        <v>168</v>
      </c>
    </row>
    <row r="13" spans="1:11" ht="23" customHeight="1" x14ac:dyDescent="0.35">
      <c r="A13" s="2" t="s">
        <v>158</v>
      </c>
      <c r="B13" s="2" t="s">
        <v>216</v>
      </c>
      <c r="C13" s="2" t="s">
        <v>217</v>
      </c>
      <c r="D13" s="2" t="s">
        <v>218</v>
      </c>
      <c r="E13" s="2" t="s">
        <v>219</v>
      </c>
      <c r="F13" s="2" t="s">
        <v>220</v>
      </c>
      <c r="G13" s="2" t="s">
        <v>221</v>
      </c>
      <c r="H13" s="2" t="s">
        <v>165</v>
      </c>
      <c r="I13" s="2" t="s">
        <v>166</v>
      </c>
      <c r="J13" s="7" t="s">
        <v>222</v>
      </c>
      <c r="K13" s="18" t="s">
        <v>168</v>
      </c>
    </row>
    <row r="14" spans="1:11" ht="23" customHeight="1" x14ac:dyDescent="0.35">
      <c r="A14" s="2" t="s">
        <v>223</v>
      </c>
      <c r="B14" s="2" t="s">
        <v>224</v>
      </c>
      <c r="C14" s="2" t="s">
        <v>225</v>
      </c>
      <c r="D14" s="2" t="s">
        <v>226</v>
      </c>
      <c r="E14" s="2" t="s">
        <v>227</v>
      </c>
      <c r="F14" s="2" t="s">
        <v>228</v>
      </c>
      <c r="G14" s="2" t="s">
        <v>229</v>
      </c>
      <c r="H14" s="2" t="s">
        <v>165</v>
      </c>
      <c r="I14" s="2" t="s">
        <v>166</v>
      </c>
      <c r="J14" s="7" t="s">
        <v>230</v>
      </c>
      <c r="K14" s="18" t="s">
        <v>168</v>
      </c>
    </row>
    <row r="15" spans="1:11" ht="23" customHeight="1" x14ac:dyDescent="0.35">
      <c r="A15" s="2" t="s">
        <v>223</v>
      </c>
      <c r="B15" s="2" t="s">
        <v>231</v>
      </c>
      <c r="C15" s="2" t="s">
        <v>232</v>
      </c>
      <c r="D15" s="2" t="s">
        <v>233</v>
      </c>
      <c r="E15" s="2" t="s">
        <v>234</v>
      </c>
      <c r="F15" s="2" t="s">
        <v>235</v>
      </c>
      <c r="G15" s="2" t="s">
        <v>236</v>
      </c>
      <c r="H15" s="2" t="s">
        <v>165</v>
      </c>
      <c r="I15" s="2" t="s">
        <v>166</v>
      </c>
      <c r="J15" s="7" t="s">
        <v>237</v>
      </c>
      <c r="K15" s="18" t="s">
        <v>168</v>
      </c>
    </row>
    <row r="16" spans="1:11" ht="23" customHeight="1" x14ac:dyDescent="0.35">
      <c r="A16" s="2" t="s">
        <v>223</v>
      </c>
      <c r="B16" s="2" t="s">
        <v>238</v>
      </c>
      <c r="C16" s="2" t="s">
        <v>239</v>
      </c>
      <c r="D16" s="2" t="s">
        <v>240</v>
      </c>
      <c r="E16" s="2" t="s">
        <v>241</v>
      </c>
      <c r="F16" s="2" t="s">
        <v>242</v>
      </c>
      <c r="G16" s="2" t="s">
        <v>243</v>
      </c>
      <c r="H16" s="2" t="s">
        <v>165</v>
      </c>
      <c r="I16" s="2" t="s">
        <v>166</v>
      </c>
      <c r="J16" s="7" t="s">
        <v>244</v>
      </c>
      <c r="K16" s="18" t="s">
        <v>168</v>
      </c>
    </row>
    <row r="17" spans="1:11" ht="23" customHeight="1" x14ac:dyDescent="0.35">
      <c r="A17" s="2" t="s">
        <v>223</v>
      </c>
      <c r="B17" s="2" t="s">
        <v>245</v>
      </c>
      <c r="C17" s="2" t="s">
        <v>225</v>
      </c>
      <c r="D17" s="2" t="s">
        <v>246</v>
      </c>
      <c r="E17" s="2" t="s">
        <v>247</v>
      </c>
      <c r="F17" s="2" t="s">
        <v>248</v>
      </c>
      <c r="G17" s="2" t="s">
        <v>249</v>
      </c>
      <c r="H17" s="2" t="s">
        <v>165</v>
      </c>
      <c r="I17" s="2" t="s">
        <v>166</v>
      </c>
      <c r="J17" s="7" t="s">
        <v>230</v>
      </c>
      <c r="K17" s="18" t="s">
        <v>168</v>
      </c>
    </row>
    <row r="18" spans="1:11" x14ac:dyDescent="0.35">
      <c r="A18" s="2" t="s">
        <v>223</v>
      </c>
      <c r="B18" s="2" t="s">
        <v>250</v>
      </c>
      <c r="C18" s="2" t="s">
        <v>251</v>
      </c>
      <c r="D18" s="2" t="s">
        <v>252</v>
      </c>
      <c r="E18" s="2" t="s">
        <v>253</v>
      </c>
      <c r="F18" s="2" t="s">
        <v>254</v>
      </c>
      <c r="G18" s="2" t="s">
        <v>255</v>
      </c>
      <c r="H18" s="2" t="s">
        <v>165</v>
      </c>
      <c r="I18" s="2" t="s">
        <v>166</v>
      </c>
      <c r="J18" s="7" t="s">
        <v>230</v>
      </c>
      <c r="K18" s="18" t="s">
        <v>168</v>
      </c>
    </row>
    <row r="19" spans="1:11" ht="23" customHeight="1" x14ac:dyDescent="0.35">
      <c r="A19" s="2" t="s">
        <v>256</v>
      </c>
      <c r="B19" s="2" t="s">
        <v>257</v>
      </c>
      <c r="C19" s="2" t="s">
        <v>258</v>
      </c>
      <c r="D19" s="2" t="s">
        <v>259</v>
      </c>
      <c r="E19" s="2" t="s">
        <v>260</v>
      </c>
      <c r="F19" s="2" t="s">
        <v>261</v>
      </c>
      <c r="G19" s="2" t="s">
        <v>262</v>
      </c>
      <c r="H19" s="2" t="s">
        <v>165</v>
      </c>
      <c r="I19" s="2" t="s">
        <v>166</v>
      </c>
      <c r="J19" s="7" t="s">
        <v>263</v>
      </c>
      <c r="K19" s="18" t="s">
        <v>168</v>
      </c>
    </row>
    <row r="20" spans="1:11" ht="23" customHeight="1" x14ac:dyDescent="0.35">
      <c r="A20" s="2" t="s">
        <v>256</v>
      </c>
      <c r="B20" s="2" t="s">
        <v>264</v>
      </c>
      <c r="C20" s="2" t="s">
        <v>258</v>
      </c>
      <c r="D20" s="2" t="s">
        <v>265</v>
      </c>
      <c r="E20" s="2" t="s">
        <v>266</v>
      </c>
      <c r="F20" s="2" t="s">
        <v>267</v>
      </c>
      <c r="G20" s="2" t="s">
        <v>268</v>
      </c>
      <c r="H20" s="2" t="s">
        <v>165</v>
      </c>
      <c r="I20" s="2" t="s">
        <v>166</v>
      </c>
      <c r="J20" s="7" t="s">
        <v>263</v>
      </c>
      <c r="K20" s="18" t="s">
        <v>168</v>
      </c>
    </row>
    <row r="21" spans="1:11" x14ac:dyDescent="0.35">
      <c r="A21" s="2" t="s">
        <v>269</v>
      </c>
      <c r="B21" s="2" t="s">
        <v>270</v>
      </c>
      <c r="C21" s="2" t="s">
        <v>271</v>
      </c>
      <c r="D21" s="2" t="s">
        <v>272</v>
      </c>
      <c r="E21" s="2" t="s">
        <v>273</v>
      </c>
      <c r="F21" s="2" t="s">
        <v>274</v>
      </c>
      <c r="G21" s="2" t="s">
        <v>275</v>
      </c>
      <c r="H21" s="2" t="s">
        <v>165</v>
      </c>
      <c r="I21" s="2" t="s">
        <v>166</v>
      </c>
      <c r="J21" s="7" t="s">
        <v>276</v>
      </c>
      <c r="K21" s="18" t="s">
        <v>168</v>
      </c>
    </row>
    <row r="22" spans="1:11" ht="23" customHeight="1" x14ac:dyDescent="0.35">
      <c r="A22" s="2" t="s">
        <v>277</v>
      </c>
      <c r="B22" s="2" t="s">
        <v>278</v>
      </c>
      <c r="C22" s="2" t="s">
        <v>279</v>
      </c>
      <c r="D22" s="2" t="s">
        <v>280</v>
      </c>
      <c r="E22" s="2" t="s">
        <v>281</v>
      </c>
      <c r="F22" s="2" t="s">
        <v>282</v>
      </c>
      <c r="G22" s="2" t="s">
        <v>283</v>
      </c>
      <c r="H22" s="2" t="s">
        <v>165</v>
      </c>
      <c r="I22" s="2" t="s">
        <v>284</v>
      </c>
      <c r="J22" s="7" t="s">
        <v>285</v>
      </c>
      <c r="K22" s="18" t="s">
        <v>168</v>
      </c>
    </row>
    <row r="23" spans="1:11" x14ac:dyDescent="0.35">
      <c r="A23" s="2" t="s">
        <v>286</v>
      </c>
      <c r="B23" s="2" t="s">
        <v>287</v>
      </c>
      <c r="C23" s="2" t="s">
        <v>288</v>
      </c>
      <c r="D23" s="2" t="s">
        <v>289</v>
      </c>
      <c r="E23" s="2" t="s">
        <v>290</v>
      </c>
      <c r="F23" s="2" t="s">
        <v>291</v>
      </c>
      <c r="G23" s="2" t="s">
        <v>292</v>
      </c>
      <c r="H23" s="2" t="s">
        <v>293</v>
      </c>
      <c r="I23" s="2" t="s">
        <v>166</v>
      </c>
      <c r="J23" s="7" t="s">
        <v>294</v>
      </c>
      <c r="K23" s="18" t="s">
        <v>168</v>
      </c>
    </row>
    <row r="24" spans="1:11" ht="23" customHeight="1" x14ac:dyDescent="0.35">
      <c r="A24" s="2" t="s">
        <v>286</v>
      </c>
      <c r="B24" s="2" t="s">
        <v>295</v>
      </c>
      <c r="C24" s="2" t="s">
        <v>288</v>
      </c>
      <c r="D24" s="2" t="s">
        <v>296</v>
      </c>
      <c r="E24" s="2" t="s">
        <v>297</v>
      </c>
      <c r="F24" s="2" t="s">
        <v>298</v>
      </c>
      <c r="G24" s="2" t="s">
        <v>299</v>
      </c>
      <c r="H24" s="2" t="s">
        <v>293</v>
      </c>
      <c r="I24" s="2" t="s">
        <v>166</v>
      </c>
      <c r="J24" s="7" t="s">
        <v>294</v>
      </c>
      <c r="K24" s="18" t="s">
        <v>168</v>
      </c>
    </row>
    <row r="25" spans="1:11" ht="23" customHeight="1" x14ac:dyDescent="0.35">
      <c r="A25" s="2" t="s">
        <v>300</v>
      </c>
      <c r="B25" s="2" t="s">
        <v>301</v>
      </c>
      <c r="C25" s="2" t="s">
        <v>302</v>
      </c>
      <c r="D25" s="2" t="s">
        <v>303</v>
      </c>
      <c r="E25" s="2" t="s">
        <v>304</v>
      </c>
      <c r="F25" s="2" t="s">
        <v>305</v>
      </c>
      <c r="G25" s="2" t="s">
        <v>306</v>
      </c>
      <c r="H25" s="2" t="s">
        <v>307</v>
      </c>
      <c r="I25" s="2" t="s">
        <v>308</v>
      </c>
      <c r="J25" s="7" t="s">
        <v>309</v>
      </c>
      <c r="K25" s="18" t="s">
        <v>168</v>
      </c>
    </row>
    <row r="26" spans="1:11" x14ac:dyDescent="0.35">
      <c r="A26" s="2" t="s">
        <v>310</v>
      </c>
      <c r="B26" s="2" t="s">
        <v>311</v>
      </c>
      <c r="C26" s="2" t="s">
        <v>312</v>
      </c>
      <c r="D26" s="2" t="s">
        <v>313</v>
      </c>
      <c r="E26" s="2" t="s">
        <v>314</v>
      </c>
      <c r="F26" s="2" t="s">
        <v>315</v>
      </c>
      <c r="G26" s="2" t="s">
        <v>316</v>
      </c>
      <c r="H26" s="2" t="s">
        <v>165</v>
      </c>
      <c r="I26" s="2" t="s">
        <v>166</v>
      </c>
      <c r="J26" s="7" t="s">
        <v>317</v>
      </c>
      <c r="K26" s="18" t="s">
        <v>168</v>
      </c>
    </row>
    <row r="27" spans="1:11" x14ac:dyDescent="0.35">
      <c r="A27" s="2" t="s">
        <v>310</v>
      </c>
      <c r="B27" s="2" t="s">
        <v>318</v>
      </c>
      <c r="C27" s="2" t="s">
        <v>319</v>
      </c>
      <c r="D27" s="2" t="s">
        <v>320</v>
      </c>
      <c r="E27" s="2" t="s">
        <v>321</v>
      </c>
      <c r="F27" s="2" t="s">
        <v>322</v>
      </c>
      <c r="G27" s="2" t="s">
        <v>323</v>
      </c>
      <c r="H27" s="2" t="s">
        <v>165</v>
      </c>
      <c r="I27" s="2" t="s">
        <v>166</v>
      </c>
      <c r="J27" s="7" t="s">
        <v>324</v>
      </c>
      <c r="K27" s="18" t="s">
        <v>168</v>
      </c>
    </row>
    <row r="28" spans="1:11" x14ac:dyDescent="0.35">
      <c r="A28" s="2" t="s">
        <v>325</v>
      </c>
      <c r="B28" s="2" t="s">
        <v>326</v>
      </c>
      <c r="C28" s="2" t="s">
        <v>327</v>
      </c>
      <c r="D28" s="2" t="s">
        <v>328</v>
      </c>
      <c r="E28" s="2" t="s">
        <v>329</v>
      </c>
      <c r="F28" s="2" t="s">
        <v>330</v>
      </c>
      <c r="G28" s="2" t="s">
        <v>331</v>
      </c>
      <c r="H28" s="2" t="s">
        <v>165</v>
      </c>
      <c r="I28" s="2" t="s">
        <v>166</v>
      </c>
      <c r="J28" s="7" t="s">
        <v>332</v>
      </c>
      <c r="K28" s="18" t="s">
        <v>168</v>
      </c>
    </row>
    <row r="29" spans="1:11" x14ac:dyDescent="0.35">
      <c r="A29" s="2" t="s">
        <v>325</v>
      </c>
      <c r="B29" s="2" t="s">
        <v>333</v>
      </c>
      <c r="C29" s="2" t="s">
        <v>334</v>
      </c>
      <c r="D29" s="2" t="s">
        <v>335</v>
      </c>
      <c r="E29" s="2" t="s">
        <v>336</v>
      </c>
      <c r="F29" s="2" t="s">
        <v>337</v>
      </c>
      <c r="G29" s="2" t="s">
        <v>338</v>
      </c>
      <c r="H29" s="2" t="s">
        <v>165</v>
      </c>
      <c r="I29" s="2" t="s">
        <v>166</v>
      </c>
      <c r="J29" s="7" t="s">
        <v>332</v>
      </c>
      <c r="K29" s="18" t="s">
        <v>168</v>
      </c>
    </row>
    <row r="30" spans="1:11" ht="23" customHeight="1" x14ac:dyDescent="0.35">
      <c r="A30" s="2" t="s">
        <v>325</v>
      </c>
      <c r="B30" s="2" t="s">
        <v>339</v>
      </c>
      <c r="C30" s="2" t="s">
        <v>340</v>
      </c>
      <c r="D30" s="2" t="s">
        <v>341</v>
      </c>
      <c r="E30" s="2" t="s">
        <v>342</v>
      </c>
      <c r="F30" s="2" t="s">
        <v>343</v>
      </c>
      <c r="G30" s="2" t="s">
        <v>344</v>
      </c>
      <c r="H30" s="2" t="s">
        <v>165</v>
      </c>
      <c r="I30" s="2" t="s">
        <v>166</v>
      </c>
      <c r="J30" s="7" t="s">
        <v>332</v>
      </c>
      <c r="K30" s="18" t="s">
        <v>168</v>
      </c>
    </row>
    <row r="31" spans="1:11" x14ac:dyDescent="0.35">
      <c r="A31" s="2" t="s">
        <v>345</v>
      </c>
      <c r="B31" s="2" t="s">
        <v>245</v>
      </c>
      <c r="C31" s="2" t="s">
        <v>346</v>
      </c>
      <c r="D31" s="2" t="s">
        <v>347</v>
      </c>
      <c r="E31" s="2" t="s">
        <v>348</v>
      </c>
      <c r="F31" s="2" t="s">
        <v>349</v>
      </c>
      <c r="G31" s="2" t="s">
        <v>350</v>
      </c>
      <c r="H31" s="2" t="s">
        <v>165</v>
      </c>
      <c r="I31" s="2" t="s">
        <v>166</v>
      </c>
      <c r="J31" s="7" t="s">
        <v>351</v>
      </c>
      <c r="K31" s="18" t="s">
        <v>168</v>
      </c>
    </row>
    <row r="32" spans="1:11" ht="23" customHeight="1" x14ac:dyDescent="0.35">
      <c r="A32" s="2" t="s">
        <v>345</v>
      </c>
      <c r="B32" s="2" t="s">
        <v>352</v>
      </c>
      <c r="C32" s="2" t="s">
        <v>346</v>
      </c>
      <c r="D32" s="2" t="s">
        <v>353</v>
      </c>
      <c r="E32" s="2" t="s">
        <v>354</v>
      </c>
      <c r="F32" s="2" t="s">
        <v>355</v>
      </c>
      <c r="G32" s="2" t="s">
        <v>356</v>
      </c>
      <c r="H32" s="2" t="s">
        <v>165</v>
      </c>
      <c r="I32" s="2" t="s">
        <v>166</v>
      </c>
      <c r="J32" s="7" t="s">
        <v>351</v>
      </c>
      <c r="K32" s="18" t="s">
        <v>168</v>
      </c>
    </row>
    <row r="33" spans="1:11" x14ac:dyDescent="0.35">
      <c r="A33" s="2" t="s">
        <v>357</v>
      </c>
      <c r="B33" s="2" t="s">
        <v>358</v>
      </c>
      <c r="C33" s="2" t="s">
        <v>346</v>
      </c>
      <c r="D33" s="2" t="s">
        <v>359</v>
      </c>
      <c r="E33" s="2" t="s">
        <v>360</v>
      </c>
      <c r="F33" s="2" t="s">
        <v>361</v>
      </c>
      <c r="G33" s="2" t="s">
        <v>362</v>
      </c>
      <c r="H33" s="2" t="s">
        <v>165</v>
      </c>
      <c r="I33" s="2" t="s">
        <v>166</v>
      </c>
      <c r="J33" s="7" t="s">
        <v>363</v>
      </c>
      <c r="K33" s="18" t="s">
        <v>168</v>
      </c>
    </row>
    <row r="34" spans="1:11" x14ac:dyDescent="0.35">
      <c r="A34" s="2" t="s">
        <v>357</v>
      </c>
      <c r="B34" s="2" t="s">
        <v>364</v>
      </c>
      <c r="C34" s="2" t="s">
        <v>346</v>
      </c>
      <c r="D34" s="2" t="s">
        <v>365</v>
      </c>
      <c r="E34" s="2" t="s">
        <v>366</v>
      </c>
      <c r="F34" s="2" t="s">
        <v>361</v>
      </c>
      <c r="G34" s="2" t="s">
        <v>367</v>
      </c>
      <c r="H34" s="2" t="s">
        <v>165</v>
      </c>
      <c r="I34" s="2" t="s">
        <v>166</v>
      </c>
      <c r="J34" s="7" t="s">
        <v>363</v>
      </c>
      <c r="K34" s="18" t="s">
        <v>168</v>
      </c>
    </row>
    <row r="35" spans="1:11" ht="23" customHeight="1" x14ac:dyDescent="0.35">
      <c r="A35" s="2" t="s">
        <v>368</v>
      </c>
      <c r="B35" s="2" t="s">
        <v>369</v>
      </c>
      <c r="C35" s="2" t="s">
        <v>370</v>
      </c>
      <c r="D35" s="2" t="s">
        <v>371</v>
      </c>
      <c r="E35" s="2" t="s">
        <v>372</v>
      </c>
      <c r="F35" s="2" t="s">
        <v>373</v>
      </c>
      <c r="G35" s="2" t="s">
        <v>374</v>
      </c>
      <c r="H35" s="2" t="s">
        <v>165</v>
      </c>
      <c r="I35" s="2" t="s">
        <v>166</v>
      </c>
      <c r="J35" s="7" t="s">
        <v>375</v>
      </c>
      <c r="K35" s="18" t="s">
        <v>168</v>
      </c>
    </row>
    <row r="36" spans="1:11" ht="23" customHeight="1" x14ac:dyDescent="0.35">
      <c r="A36" s="2" t="s">
        <v>376</v>
      </c>
      <c r="B36" s="2" t="s">
        <v>377</v>
      </c>
      <c r="C36" s="2" t="s">
        <v>378</v>
      </c>
      <c r="D36" s="2" t="s">
        <v>379</v>
      </c>
      <c r="E36" s="2" t="s">
        <v>380</v>
      </c>
      <c r="F36" s="2" t="s">
        <v>381</v>
      </c>
      <c r="G36" s="2" t="s">
        <v>382</v>
      </c>
      <c r="H36" s="2" t="s">
        <v>165</v>
      </c>
      <c r="I36" s="2" t="s">
        <v>166</v>
      </c>
      <c r="J36" s="7" t="s">
        <v>383</v>
      </c>
      <c r="K36" s="18" t="s">
        <v>168</v>
      </c>
    </row>
    <row r="37" spans="1:11" ht="23" customHeight="1" x14ac:dyDescent="0.35">
      <c r="A37" s="2" t="s">
        <v>376</v>
      </c>
      <c r="B37" s="2" t="s">
        <v>384</v>
      </c>
      <c r="C37" s="2" t="s">
        <v>378</v>
      </c>
      <c r="D37" s="2" t="s">
        <v>385</v>
      </c>
      <c r="E37" s="2" t="s">
        <v>386</v>
      </c>
      <c r="F37" s="2" t="s">
        <v>381</v>
      </c>
      <c r="G37" s="2" t="s">
        <v>387</v>
      </c>
      <c r="H37" s="2" t="s">
        <v>165</v>
      </c>
      <c r="I37" s="2" t="s">
        <v>166</v>
      </c>
      <c r="J37" s="7" t="s">
        <v>388</v>
      </c>
      <c r="K37" s="18" t="s">
        <v>168</v>
      </c>
    </row>
    <row r="38" spans="1:11" ht="23" customHeight="1" x14ac:dyDescent="0.35">
      <c r="A38" s="2" t="s">
        <v>376</v>
      </c>
      <c r="B38" s="2" t="s">
        <v>389</v>
      </c>
      <c r="C38" s="2" t="s">
        <v>378</v>
      </c>
      <c r="D38" s="2" t="s">
        <v>390</v>
      </c>
      <c r="E38" s="2" t="s">
        <v>173</v>
      </c>
      <c r="F38" s="2" t="s">
        <v>391</v>
      </c>
      <c r="G38" s="2" t="s">
        <v>392</v>
      </c>
      <c r="H38" s="2" t="s">
        <v>165</v>
      </c>
      <c r="I38" s="2" t="s">
        <v>166</v>
      </c>
      <c r="J38" s="7" t="s">
        <v>393</v>
      </c>
      <c r="K38" s="18" t="s">
        <v>168</v>
      </c>
    </row>
    <row r="39" spans="1:11" ht="23" customHeight="1" x14ac:dyDescent="0.35">
      <c r="A39" s="2" t="s">
        <v>394</v>
      </c>
      <c r="B39" s="2" t="s">
        <v>395</v>
      </c>
      <c r="C39" s="2" t="s">
        <v>378</v>
      </c>
      <c r="D39" s="2" t="s">
        <v>396</v>
      </c>
      <c r="E39" s="2" t="s">
        <v>397</v>
      </c>
      <c r="F39" s="2" t="s">
        <v>398</v>
      </c>
      <c r="G39" s="2" t="s">
        <v>399</v>
      </c>
      <c r="H39" s="2" t="s">
        <v>165</v>
      </c>
      <c r="I39" s="2" t="s">
        <v>166</v>
      </c>
      <c r="J39" s="7" t="s">
        <v>400</v>
      </c>
      <c r="K39" s="18" t="s">
        <v>168</v>
      </c>
    </row>
    <row r="40" spans="1:11" ht="23" customHeight="1" x14ac:dyDescent="0.35">
      <c r="A40" s="2" t="s">
        <v>368</v>
      </c>
      <c r="B40" s="2" t="s">
        <v>401</v>
      </c>
      <c r="C40" s="2" t="s">
        <v>378</v>
      </c>
      <c r="D40" s="2" t="s">
        <v>402</v>
      </c>
      <c r="E40" s="2" t="s">
        <v>403</v>
      </c>
      <c r="F40" s="2" t="s">
        <v>404</v>
      </c>
      <c r="G40" s="2" t="s">
        <v>405</v>
      </c>
      <c r="H40" s="2" t="s">
        <v>165</v>
      </c>
      <c r="I40" s="2" t="s">
        <v>166</v>
      </c>
      <c r="J40" s="7" t="s">
        <v>406</v>
      </c>
      <c r="K40" s="18" t="s">
        <v>168</v>
      </c>
    </row>
    <row r="41" spans="1:11" ht="34.5" customHeight="1" x14ac:dyDescent="0.35">
      <c r="A41" s="2" t="s">
        <v>407</v>
      </c>
      <c r="B41" s="2" t="s">
        <v>408</v>
      </c>
      <c r="C41" s="2" t="s">
        <v>409</v>
      </c>
      <c r="D41" s="2" t="s">
        <v>410</v>
      </c>
      <c r="E41" s="2" t="s">
        <v>411</v>
      </c>
      <c r="F41" s="2" t="s">
        <v>412</v>
      </c>
      <c r="G41" s="2" t="s">
        <v>413</v>
      </c>
      <c r="H41" s="2" t="s">
        <v>165</v>
      </c>
      <c r="I41" s="2" t="s">
        <v>166</v>
      </c>
      <c r="J41" s="7" t="s">
        <v>414</v>
      </c>
      <c r="K41" s="18" t="s">
        <v>168</v>
      </c>
    </row>
    <row r="42" spans="1:11" x14ac:dyDescent="0.35">
      <c r="A42" s="2" t="s">
        <v>415</v>
      </c>
      <c r="B42" s="2" t="s">
        <v>416</v>
      </c>
      <c r="C42" s="2" t="s">
        <v>417</v>
      </c>
      <c r="D42" s="2" t="s">
        <v>418</v>
      </c>
      <c r="E42" s="2" t="s">
        <v>419</v>
      </c>
      <c r="F42" s="2" t="s">
        <v>420</v>
      </c>
      <c r="G42" s="2" t="s">
        <v>421</v>
      </c>
      <c r="H42" s="2" t="s">
        <v>165</v>
      </c>
      <c r="I42" s="2" t="s">
        <v>166</v>
      </c>
      <c r="J42" s="7" t="s">
        <v>422</v>
      </c>
      <c r="K42" s="18" t="s">
        <v>168</v>
      </c>
    </row>
    <row r="43" spans="1:11" ht="23" customHeight="1" x14ac:dyDescent="0.35">
      <c r="A43" s="2" t="s">
        <v>423</v>
      </c>
      <c r="B43" s="2" t="s">
        <v>424</v>
      </c>
      <c r="C43" s="2" t="s">
        <v>425</v>
      </c>
      <c r="D43" s="2" t="s">
        <v>426</v>
      </c>
      <c r="E43" s="2" t="s">
        <v>336</v>
      </c>
      <c r="F43" s="2" t="s">
        <v>427</v>
      </c>
      <c r="G43" s="2" t="s">
        <v>428</v>
      </c>
      <c r="H43" s="2" t="s">
        <v>165</v>
      </c>
      <c r="I43" s="2" t="s">
        <v>166</v>
      </c>
      <c r="J43" s="7" t="s">
        <v>429</v>
      </c>
      <c r="K43" s="18" t="s">
        <v>168</v>
      </c>
    </row>
    <row r="44" spans="1:11" x14ac:dyDescent="0.35">
      <c r="A44" s="2" t="s">
        <v>430</v>
      </c>
      <c r="B44" s="2" t="s">
        <v>431</v>
      </c>
      <c r="C44" s="2" t="s">
        <v>346</v>
      </c>
      <c r="D44" s="2" t="s">
        <v>432</v>
      </c>
      <c r="E44" s="2" t="s">
        <v>433</v>
      </c>
      <c r="F44" s="2" t="s">
        <v>434</v>
      </c>
      <c r="G44" s="2" t="s">
        <v>435</v>
      </c>
      <c r="H44" s="2" t="s">
        <v>165</v>
      </c>
      <c r="I44" s="2" t="s">
        <v>166</v>
      </c>
      <c r="J44" s="7" t="s">
        <v>436</v>
      </c>
      <c r="K44" s="18" t="s">
        <v>168</v>
      </c>
    </row>
    <row r="45" spans="1:11" ht="23" customHeight="1" x14ac:dyDescent="0.35">
      <c r="A45" s="2" t="s">
        <v>321</v>
      </c>
      <c r="B45" s="2" t="s">
        <v>437</v>
      </c>
      <c r="C45" s="2" t="s">
        <v>438</v>
      </c>
      <c r="D45" s="2" t="s">
        <v>320</v>
      </c>
      <c r="E45" s="2" t="s">
        <v>439</v>
      </c>
      <c r="F45" s="2" t="s">
        <v>440</v>
      </c>
      <c r="G45" s="2" t="s">
        <v>441</v>
      </c>
      <c r="H45" s="2" t="s">
        <v>165</v>
      </c>
      <c r="I45" s="2" t="s">
        <v>442</v>
      </c>
      <c r="J45" s="7" t="s">
        <v>443</v>
      </c>
      <c r="K45" s="18" t="s">
        <v>168</v>
      </c>
    </row>
    <row r="46" spans="1:11" ht="23" customHeight="1" x14ac:dyDescent="0.35">
      <c r="A46" s="2" t="s">
        <v>368</v>
      </c>
      <c r="B46" s="2" t="s">
        <v>444</v>
      </c>
      <c r="C46" s="2" t="s">
        <v>370</v>
      </c>
      <c r="D46" s="2" t="s">
        <v>445</v>
      </c>
      <c r="E46" s="2" t="s">
        <v>446</v>
      </c>
      <c r="F46" s="2" t="s">
        <v>447</v>
      </c>
      <c r="G46" s="2" t="s">
        <v>448</v>
      </c>
      <c r="H46" s="2" t="s">
        <v>165</v>
      </c>
      <c r="I46" s="2" t="s">
        <v>166</v>
      </c>
      <c r="J46" s="19" t="s">
        <v>375</v>
      </c>
      <c r="K46" s="18" t="s">
        <v>168</v>
      </c>
    </row>
    <row r="47" spans="1:11" ht="23" customHeight="1" x14ac:dyDescent="0.35">
      <c r="A47" s="2" t="s">
        <v>376</v>
      </c>
      <c r="B47" s="2" t="s">
        <v>449</v>
      </c>
      <c r="C47" s="2" t="s">
        <v>378</v>
      </c>
      <c r="D47" s="2" t="s">
        <v>450</v>
      </c>
      <c r="E47" s="2" t="s">
        <v>451</v>
      </c>
      <c r="F47" s="2" t="s">
        <v>452</v>
      </c>
      <c r="G47" s="2" t="s">
        <v>453</v>
      </c>
      <c r="H47" s="2" t="s">
        <v>165</v>
      </c>
      <c r="I47" s="2" t="s">
        <v>166</v>
      </c>
      <c r="J47" s="19" t="s">
        <v>454</v>
      </c>
      <c r="K47" s="18" t="s">
        <v>168</v>
      </c>
    </row>
    <row r="48" spans="1:11" ht="23" customHeight="1" x14ac:dyDescent="0.35">
      <c r="A48" s="2" t="s">
        <v>158</v>
      </c>
      <c r="B48" s="2" t="s">
        <v>455</v>
      </c>
      <c r="C48" s="2" t="s">
        <v>231</v>
      </c>
      <c r="D48" s="2" t="s">
        <v>456</v>
      </c>
      <c r="E48" s="2" t="s">
        <v>457</v>
      </c>
      <c r="F48" s="2" t="s">
        <v>458</v>
      </c>
      <c r="G48" s="2" t="s">
        <v>459</v>
      </c>
      <c r="H48" s="2" t="s">
        <v>165</v>
      </c>
      <c r="I48" s="2" t="s">
        <v>166</v>
      </c>
      <c r="J48" s="19" t="s">
        <v>460</v>
      </c>
      <c r="K48" s="18" t="s">
        <v>168</v>
      </c>
    </row>
    <row r="49" spans="1:11" ht="23" customHeight="1" x14ac:dyDescent="0.35">
      <c r="A49" s="2" t="s">
        <v>461</v>
      </c>
      <c r="B49" s="2" t="s">
        <v>462</v>
      </c>
      <c r="C49" s="2" t="s">
        <v>463</v>
      </c>
      <c r="D49" s="2" t="s">
        <v>226</v>
      </c>
      <c r="E49" s="2" t="s">
        <v>464</v>
      </c>
      <c r="F49" s="2" t="s">
        <v>465</v>
      </c>
      <c r="G49" s="2" t="s">
        <v>466</v>
      </c>
      <c r="H49" s="2" t="s">
        <v>165</v>
      </c>
      <c r="I49" s="2" t="s">
        <v>166</v>
      </c>
      <c r="J49" s="19" t="s">
        <v>467</v>
      </c>
      <c r="K49" s="18" t="s">
        <v>168</v>
      </c>
    </row>
    <row r="50" spans="1:11" ht="23" customHeight="1" x14ac:dyDescent="0.35">
      <c r="A50" s="2" t="s">
        <v>468</v>
      </c>
      <c r="B50" s="2" t="s">
        <v>469</v>
      </c>
      <c r="C50" s="2" t="s">
        <v>346</v>
      </c>
      <c r="D50" s="2" t="s">
        <v>470</v>
      </c>
      <c r="E50" s="2" t="s">
        <v>471</v>
      </c>
      <c r="F50" s="2" t="s">
        <v>472</v>
      </c>
      <c r="G50" s="2" t="s">
        <v>473</v>
      </c>
      <c r="H50" s="2" t="s">
        <v>165</v>
      </c>
      <c r="I50" s="2" t="s">
        <v>166</v>
      </c>
      <c r="J50" s="19" t="s">
        <v>474</v>
      </c>
      <c r="K50" s="18" t="s">
        <v>168</v>
      </c>
    </row>
  </sheetData>
  <autoFilter ref="A4:J45" xr:uid="{00000000-0009-0000-0000-000001000000}"/>
  <mergeCells count="2">
    <mergeCell ref="A1:J1"/>
    <mergeCell ref="A2:J2"/>
  </mergeCells>
  <hyperlinks>
    <hyperlink ref="J5" r:id="rId1" xr:uid="{00000000-0004-0000-0100-000000000000}"/>
    <hyperlink ref="J6" r:id="rId2" xr:uid="{00000000-0004-0000-0100-000001000000}"/>
    <hyperlink ref="J7" r:id="rId3" xr:uid="{00000000-0004-0000-0100-000002000000}"/>
    <hyperlink ref="J8" r:id="rId4" xr:uid="{00000000-0004-0000-0100-000003000000}"/>
    <hyperlink ref="J9" r:id="rId5" xr:uid="{00000000-0004-0000-0100-000004000000}"/>
    <hyperlink ref="J10" r:id="rId6" xr:uid="{00000000-0004-0000-0100-000005000000}"/>
    <hyperlink ref="J11" r:id="rId7" xr:uid="{00000000-0004-0000-0100-000006000000}"/>
    <hyperlink ref="J12" r:id="rId8" xr:uid="{00000000-0004-0000-0100-000007000000}"/>
    <hyperlink ref="J13" r:id="rId9" xr:uid="{00000000-0004-0000-0100-000008000000}"/>
    <hyperlink ref="J14" r:id="rId10" xr:uid="{00000000-0004-0000-0100-000009000000}"/>
    <hyperlink ref="J15" r:id="rId11" xr:uid="{00000000-0004-0000-0100-00000A000000}"/>
    <hyperlink ref="J16" r:id="rId12" xr:uid="{00000000-0004-0000-0100-00000B000000}"/>
    <hyperlink ref="J17" r:id="rId13" xr:uid="{00000000-0004-0000-0100-00000C000000}"/>
    <hyperlink ref="J18" r:id="rId14" xr:uid="{00000000-0004-0000-0100-00000D000000}"/>
    <hyperlink ref="J19" r:id="rId15" xr:uid="{00000000-0004-0000-0100-00000E000000}"/>
    <hyperlink ref="J20" r:id="rId16" xr:uid="{00000000-0004-0000-0100-00000F000000}"/>
    <hyperlink ref="J21" r:id="rId17" xr:uid="{00000000-0004-0000-0100-000010000000}"/>
    <hyperlink ref="J22" r:id="rId18" xr:uid="{00000000-0004-0000-0100-000011000000}"/>
    <hyperlink ref="J23" r:id="rId19" xr:uid="{00000000-0004-0000-0100-000012000000}"/>
    <hyperlink ref="J24" r:id="rId20" xr:uid="{00000000-0004-0000-0100-000013000000}"/>
    <hyperlink ref="J25" r:id="rId21" xr:uid="{00000000-0004-0000-0100-000014000000}"/>
    <hyperlink ref="J26" r:id="rId22" xr:uid="{00000000-0004-0000-0100-000015000000}"/>
    <hyperlink ref="J27" r:id="rId23" xr:uid="{00000000-0004-0000-0100-000016000000}"/>
    <hyperlink ref="J28" r:id="rId24" xr:uid="{00000000-0004-0000-0100-000017000000}"/>
    <hyperlink ref="J29" r:id="rId25" xr:uid="{00000000-0004-0000-0100-000018000000}"/>
    <hyperlink ref="J30" r:id="rId26" xr:uid="{00000000-0004-0000-0100-000019000000}"/>
    <hyperlink ref="J31" r:id="rId27" xr:uid="{00000000-0004-0000-0100-00001A000000}"/>
    <hyperlink ref="J32" r:id="rId28" xr:uid="{00000000-0004-0000-0100-00001B000000}"/>
    <hyperlink ref="J33" r:id="rId29" xr:uid="{00000000-0004-0000-0100-00001C000000}"/>
    <hyperlink ref="J34" r:id="rId30" xr:uid="{00000000-0004-0000-0100-00001D000000}"/>
    <hyperlink ref="J35" r:id="rId31" xr:uid="{00000000-0004-0000-0100-00001E000000}"/>
    <hyperlink ref="J36" r:id="rId32" xr:uid="{00000000-0004-0000-0100-00001F000000}"/>
    <hyperlink ref="J37" r:id="rId33" xr:uid="{00000000-0004-0000-0100-000020000000}"/>
    <hyperlink ref="J38" r:id="rId34" xr:uid="{00000000-0004-0000-0100-000021000000}"/>
    <hyperlink ref="J39" r:id="rId35" xr:uid="{00000000-0004-0000-0100-000022000000}"/>
    <hyperlink ref="J40" r:id="rId36" xr:uid="{00000000-0004-0000-0100-000023000000}"/>
    <hyperlink ref="J41" r:id="rId37" xr:uid="{00000000-0004-0000-0100-000024000000}"/>
    <hyperlink ref="J42" r:id="rId38" xr:uid="{00000000-0004-0000-0100-000025000000}"/>
    <hyperlink ref="J43" r:id="rId39" xr:uid="{00000000-0004-0000-0100-000026000000}"/>
    <hyperlink ref="J44" r:id="rId40" xr:uid="{00000000-0004-0000-0100-000027000000}"/>
    <hyperlink ref="J45" r:id="rId41" xr:uid="{00000000-0004-0000-0100-000028000000}"/>
    <hyperlink ref="J46" r:id="rId42" xr:uid="{00000000-0004-0000-0100-000029000000}"/>
    <hyperlink ref="J47" r:id="rId43" xr:uid="{00000000-0004-0000-0100-00002A000000}"/>
    <hyperlink ref="J48" r:id="rId44" xr:uid="{00000000-0004-0000-0100-00002B000000}"/>
    <hyperlink ref="J49" r:id="rId45" xr:uid="{00000000-0004-0000-0100-00002C000000}"/>
    <hyperlink ref="J50" r:id="rId46" xr:uid="{00000000-0004-0000-0100-00002D000000}"/>
  </hyperlinks>
  <pageMargins left="0.25" right="0.25" top="0.5" bottom="0.5" header="0.5" footer="0.5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"/>
  <sheetViews>
    <sheetView showGridLines="0" workbookViewId="0"/>
  </sheetViews>
  <sheetFormatPr defaultRowHeight="14.5" x14ac:dyDescent="0.35"/>
  <cols>
    <col min="1" max="1" width="22" customWidth="1"/>
    <col min="2" max="2" width="34" customWidth="1"/>
    <col min="3" max="5" width="13" customWidth="1"/>
    <col min="6" max="6" width="18" customWidth="1"/>
    <col min="7" max="7" width="36" customWidth="1"/>
    <col min="8" max="8" width="48" customWidth="1"/>
  </cols>
  <sheetData>
    <row r="1" spans="1:8" ht="26" customHeight="1" x14ac:dyDescent="0.35">
      <c r="A1" s="41" t="s">
        <v>475</v>
      </c>
      <c r="B1" s="42"/>
      <c r="C1" s="42"/>
      <c r="D1" s="42"/>
      <c r="E1" s="42"/>
      <c r="F1" s="42"/>
      <c r="G1" s="42"/>
      <c r="H1" s="42"/>
    </row>
    <row r="2" spans="1:8" ht="30" customHeight="1" x14ac:dyDescent="0.35">
      <c r="A2" s="43" t="s">
        <v>476</v>
      </c>
      <c r="B2" s="42"/>
      <c r="C2" s="42"/>
      <c r="D2" s="42"/>
      <c r="E2" s="42"/>
      <c r="F2" s="42"/>
      <c r="G2" s="42"/>
      <c r="H2" s="42"/>
    </row>
    <row r="4" spans="1:8" ht="28" customHeight="1" x14ac:dyDescent="0.35">
      <c r="A4" s="1" t="s">
        <v>477</v>
      </c>
      <c r="B4" s="1" t="s">
        <v>478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479</v>
      </c>
      <c r="H4" s="1" t="s">
        <v>480</v>
      </c>
    </row>
    <row r="5" spans="1:8" x14ac:dyDescent="0.35">
      <c r="A5" s="2" t="s">
        <v>481</v>
      </c>
      <c r="B5" s="2" t="s">
        <v>482</v>
      </c>
      <c r="C5" s="2">
        <f>Assumptions!C5</f>
        <v>3</v>
      </c>
      <c r="D5" s="2">
        <f>Assumptions!D5</f>
        <v>6</v>
      </c>
      <c r="E5" s="2">
        <f>Assumptions!E5</f>
        <v>10</v>
      </c>
      <c r="F5" s="2" t="s">
        <v>483</v>
      </c>
      <c r="G5" s="2" t="s">
        <v>484</v>
      </c>
      <c r="H5" s="2" t="s">
        <v>485</v>
      </c>
    </row>
    <row r="6" spans="1:8" x14ac:dyDescent="0.35">
      <c r="A6" s="2" t="s">
        <v>486</v>
      </c>
      <c r="B6" s="2" t="s">
        <v>487</v>
      </c>
      <c r="C6" s="2">
        <f>Assumptions!C13</f>
        <v>0.14000000000000001</v>
      </c>
      <c r="D6" s="2">
        <f>Assumptions!D13</f>
        <v>0.25</v>
      </c>
      <c r="E6" s="2">
        <f>Assumptions!E13</f>
        <v>1</v>
      </c>
      <c r="F6" s="2" t="s">
        <v>40</v>
      </c>
      <c r="G6" s="2" t="s">
        <v>488</v>
      </c>
      <c r="H6" s="2" t="s">
        <v>489</v>
      </c>
    </row>
    <row r="7" spans="1:8" x14ac:dyDescent="0.35">
      <c r="A7" s="2" t="s">
        <v>490</v>
      </c>
      <c r="B7" s="2" t="s">
        <v>491</v>
      </c>
      <c r="C7" s="2">
        <f>Assumptions!C14</f>
        <v>1</v>
      </c>
      <c r="D7" s="2">
        <f>Assumptions!D14</f>
        <v>4</v>
      </c>
      <c r="E7" s="2">
        <f>Assumptions!E14</f>
        <v>8</v>
      </c>
      <c r="F7" s="2" t="s">
        <v>40</v>
      </c>
      <c r="G7" s="2" t="s">
        <v>492</v>
      </c>
      <c r="H7" s="2" t="s">
        <v>493</v>
      </c>
    </row>
    <row r="8" spans="1:8" x14ac:dyDescent="0.35">
      <c r="A8" s="2" t="s">
        <v>494</v>
      </c>
      <c r="B8" s="2" t="s">
        <v>495</v>
      </c>
      <c r="C8" s="2">
        <f>Assumptions!C15</f>
        <v>12</v>
      </c>
      <c r="D8" s="2">
        <f>Assumptions!D15</f>
        <v>24</v>
      </c>
      <c r="E8" s="2">
        <f>Assumptions!E15</f>
        <v>96</v>
      </c>
      <c r="F8" s="2" t="s">
        <v>40</v>
      </c>
      <c r="G8" s="2" t="s">
        <v>496</v>
      </c>
      <c r="H8" s="2" t="s">
        <v>497</v>
      </c>
    </row>
    <row r="9" spans="1:8" x14ac:dyDescent="0.35">
      <c r="A9" s="2" t="s">
        <v>498</v>
      </c>
      <c r="B9" s="2" t="s">
        <v>499</v>
      </c>
      <c r="C9" s="2">
        <f>Assumptions!C7</f>
        <v>0.5</v>
      </c>
      <c r="D9" s="2">
        <f>Assumptions!D7</f>
        <v>2</v>
      </c>
      <c r="E9" s="2">
        <f>Assumptions!E7</f>
        <v>8</v>
      </c>
      <c r="F9" s="2" t="s">
        <v>22</v>
      </c>
      <c r="G9" s="2" t="s">
        <v>500</v>
      </c>
      <c r="H9" s="2" t="s">
        <v>501</v>
      </c>
    </row>
    <row r="10" spans="1:8" x14ac:dyDescent="0.35">
      <c r="A10" s="2" t="s">
        <v>502</v>
      </c>
      <c r="B10" s="2" t="s">
        <v>503</v>
      </c>
      <c r="C10" s="2">
        <f>Assumptions!C21</f>
        <v>0</v>
      </c>
      <c r="D10" s="2">
        <f>Assumptions!D21</f>
        <v>0</v>
      </c>
      <c r="E10" s="2">
        <f>Assumptions!E21</f>
        <v>0</v>
      </c>
      <c r="F10" s="2" t="s">
        <v>504</v>
      </c>
      <c r="G10" s="2" t="s">
        <v>505</v>
      </c>
      <c r="H10" s="2" t="s">
        <v>506</v>
      </c>
    </row>
    <row r="11" spans="1:8" x14ac:dyDescent="0.35">
      <c r="A11" s="2" t="s">
        <v>507</v>
      </c>
      <c r="B11" s="2" t="s">
        <v>508</v>
      </c>
      <c r="C11" s="2">
        <f>Assumptions!C22</f>
        <v>2</v>
      </c>
      <c r="D11" s="2">
        <f>Assumptions!D22</f>
        <v>4</v>
      </c>
      <c r="E11" s="2">
        <f>Assumptions!E22</f>
        <v>8</v>
      </c>
      <c r="F11" s="2" t="s">
        <v>504</v>
      </c>
      <c r="G11" s="2" t="s">
        <v>509</v>
      </c>
      <c r="H11" s="2" t="s">
        <v>510</v>
      </c>
    </row>
    <row r="12" spans="1:8" x14ac:dyDescent="0.35">
      <c r="A12" s="2" t="s">
        <v>511</v>
      </c>
      <c r="B12" s="2" t="s">
        <v>512</v>
      </c>
      <c r="C12" s="2">
        <f>Assumptions!C23</f>
        <v>10</v>
      </c>
      <c r="D12" s="2">
        <f>Assumptions!D23</f>
        <v>20</v>
      </c>
      <c r="E12" s="2">
        <f>Assumptions!E23</f>
        <v>50</v>
      </c>
      <c r="F12" s="2" t="s">
        <v>504</v>
      </c>
      <c r="G12" s="2" t="s">
        <v>513</v>
      </c>
      <c r="H12" s="2" t="s">
        <v>514</v>
      </c>
    </row>
  </sheetData>
  <mergeCells count="2">
    <mergeCell ref="A2:H2"/>
    <mergeCell ref="A1:H1"/>
  </mergeCells>
  <pageMargins left="0.25" right="0.25" top="0.5" bottom="0.5" header="0.5" footer="0.5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3"/>
  <sheetViews>
    <sheetView showGridLines="0" workbookViewId="0">
      <pane ySplit="18" topLeftCell="A19" activePane="bottomLeft" state="frozen"/>
      <selection pane="bottomLeft"/>
    </sheetView>
  </sheetViews>
  <sheetFormatPr defaultRowHeight="14.5" x14ac:dyDescent="0.35"/>
  <cols>
    <col min="1" max="1" width="38" customWidth="1"/>
    <col min="2" max="3" width="18" customWidth="1"/>
    <col min="4" max="4" width="24" customWidth="1"/>
    <col min="5" max="5" width="58" customWidth="1"/>
    <col min="6" max="8" width="4" customWidth="1"/>
  </cols>
  <sheetData>
    <row r="1" spans="1:8" ht="26" customHeight="1" x14ac:dyDescent="0.35">
      <c r="A1" s="41" t="s">
        <v>515</v>
      </c>
      <c r="B1" s="42"/>
      <c r="C1" s="42"/>
      <c r="D1" s="42"/>
      <c r="E1" s="42"/>
      <c r="F1" s="42"/>
      <c r="G1" s="42"/>
      <c r="H1" s="42"/>
    </row>
    <row r="2" spans="1:8" ht="30" customHeight="1" x14ac:dyDescent="0.35">
      <c r="A2" s="43" t="s">
        <v>516</v>
      </c>
      <c r="B2" s="42"/>
      <c r="C2" s="42"/>
      <c r="D2" s="42"/>
      <c r="E2" s="42"/>
      <c r="F2" s="42"/>
      <c r="G2" s="42"/>
      <c r="H2" s="42"/>
    </row>
    <row r="4" spans="1:8" ht="28" customHeight="1" x14ac:dyDescent="0.35">
      <c r="A4" s="1" t="s">
        <v>517</v>
      </c>
      <c r="B4" s="1" t="s">
        <v>518</v>
      </c>
      <c r="C4" s="1" t="s">
        <v>519</v>
      </c>
      <c r="D4" s="1" t="s">
        <v>520</v>
      </c>
      <c r="E4" s="1"/>
      <c r="F4" s="1"/>
      <c r="G4" s="1"/>
      <c r="H4" s="1"/>
    </row>
    <row r="5" spans="1:8" x14ac:dyDescent="0.35">
      <c r="A5" s="2" t="s">
        <v>521</v>
      </c>
      <c r="B5" s="4" t="s">
        <v>5</v>
      </c>
      <c r="C5" s="2"/>
      <c r="D5" s="2" t="s">
        <v>522</v>
      </c>
      <c r="E5" s="2"/>
      <c r="F5" s="2"/>
      <c r="G5" s="2"/>
      <c r="H5" s="2"/>
    </row>
    <row r="6" spans="1:8" x14ac:dyDescent="0.35">
      <c r="A6" s="2" t="s">
        <v>523</v>
      </c>
      <c r="B6" s="4">
        <v>120</v>
      </c>
      <c r="C6" s="2"/>
      <c r="D6" s="2" t="s">
        <v>524</v>
      </c>
      <c r="E6" s="2"/>
      <c r="F6" s="2"/>
      <c r="G6" s="2"/>
      <c r="H6" s="2"/>
    </row>
    <row r="7" spans="1:8" x14ac:dyDescent="0.35">
      <c r="A7" s="2" t="s">
        <v>525</v>
      </c>
      <c r="B7" s="4">
        <v>1</v>
      </c>
      <c r="C7" s="2"/>
      <c r="D7" s="2" t="s">
        <v>526</v>
      </c>
      <c r="E7" s="2"/>
      <c r="F7" s="2"/>
      <c r="G7" s="2"/>
      <c r="H7" s="2"/>
    </row>
    <row r="8" spans="1:8" ht="23" customHeight="1" x14ac:dyDescent="0.35">
      <c r="A8" s="2" t="s">
        <v>527</v>
      </c>
      <c r="B8" s="4">
        <v>7</v>
      </c>
      <c r="C8" s="2"/>
      <c r="D8" s="2" t="s">
        <v>528</v>
      </c>
      <c r="E8" s="2"/>
      <c r="F8" s="2"/>
      <c r="G8" s="2"/>
      <c r="H8" s="2"/>
    </row>
    <row r="9" spans="1:8" x14ac:dyDescent="0.35">
      <c r="A9" s="2" t="s">
        <v>529</v>
      </c>
      <c r="B9" s="4" t="s">
        <v>490</v>
      </c>
      <c r="C9" s="2"/>
      <c r="D9" s="2" t="s">
        <v>530</v>
      </c>
      <c r="E9" s="2"/>
      <c r="F9" s="2"/>
      <c r="G9" s="2"/>
      <c r="H9" s="2"/>
    </row>
    <row r="10" spans="1:8" x14ac:dyDescent="0.35">
      <c r="A10" s="2" t="s">
        <v>531</v>
      </c>
      <c r="B10" s="4" t="s">
        <v>336</v>
      </c>
      <c r="C10" s="2"/>
      <c r="D10" s="2" t="s">
        <v>532</v>
      </c>
      <c r="E10" s="2" t="s">
        <v>533</v>
      </c>
      <c r="F10" s="2"/>
      <c r="G10" s="2"/>
      <c r="H10" s="2"/>
    </row>
    <row r="11" spans="1:8" x14ac:dyDescent="0.35">
      <c r="A11" s="2" t="s">
        <v>534</v>
      </c>
      <c r="B11" s="4" t="s">
        <v>535</v>
      </c>
      <c r="C11" s="2"/>
      <c r="D11" s="2" t="s">
        <v>536</v>
      </c>
      <c r="E11" s="2" t="s">
        <v>537</v>
      </c>
      <c r="F11" s="2"/>
      <c r="G11" s="2"/>
      <c r="H11" s="2"/>
    </row>
    <row r="12" spans="1:8" x14ac:dyDescent="0.35">
      <c r="A12" s="2" t="s">
        <v>538</v>
      </c>
      <c r="B12" s="4" t="s">
        <v>539</v>
      </c>
      <c r="C12" s="2"/>
      <c r="D12" s="2" t="s">
        <v>540</v>
      </c>
      <c r="E12" s="2"/>
      <c r="F12" s="2"/>
      <c r="G12" s="2"/>
      <c r="H12" s="2"/>
    </row>
    <row r="13" spans="1:8" ht="23" customHeight="1" x14ac:dyDescent="0.35">
      <c r="A13" s="2" t="s">
        <v>541</v>
      </c>
      <c r="B13" s="8">
        <v>0</v>
      </c>
      <c r="C13" s="2"/>
      <c r="D13" s="2" t="s">
        <v>542</v>
      </c>
      <c r="E13" s="2"/>
      <c r="F13" s="2"/>
      <c r="G13" s="2"/>
      <c r="H13" s="2"/>
    </row>
    <row r="14" spans="1:8" x14ac:dyDescent="0.35">
      <c r="A14" s="2" t="s">
        <v>543</v>
      </c>
      <c r="B14" s="4">
        <v>0</v>
      </c>
      <c r="C14" s="2"/>
      <c r="D14" s="2" t="s">
        <v>544</v>
      </c>
      <c r="E14" s="2" t="s">
        <v>545</v>
      </c>
      <c r="F14" s="2"/>
      <c r="G14" s="2"/>
      <c r="H14" s="2"/>
    </row>
    <row r="15" spans="1:8" x14ac:dyDescent="0.35">
      <c r="A15" s="2" t="s">
        <v>546</v>
      </c>
      <c r="B15" s="9">
        <v>5000</v>
      </c>
      <c r="C15" s="2"/>
      <c r="D15" s="2" t="s">
        <v>547</v>
      </c>
      <c r="E15" s="2"/>
      <c r="F15" s="2"/>
      <c r="G15" s="2"/>
      <c r="H15" s="2"/>
    </row>
    <row r="16" spans="1:8" x14ac:dyDescent="0.35">
      <c r="A16" s="2" t="s">
        <v>548</v>
      </c>
      <c r="B16" s="9">
        <v>0</v>
      </c>
      <c r="C16" s="2"/>
      <c r="D16" s="2" t="s">
        <v>547</v>
      </c>
      <c r="E16" s="2"/>
      <c r="F16" s="2"/>
      <c r="G16" s="2"/>
      <c r="H16" s="2"/>
    </row>
    <row r="17" spans="1:8" x14ac:dyDescent="0.35">
      <c r="A17" s="2"/>
      <c r="B17" s="2"/>
      <c r="C17" s="2"/>
      <c r="D17" s="2"/>
      <c r="E17" s="2"/>
      <c r="F17" s="2"/>
      <c r="G17" s="2"/>
      <c r="H17" s="2"/>
    </row>
    <row r="18" spans="1:8" x14ac:dyDescent="0.35">
      <c r="A18" s="2"/>
      <c r="B18" s="2"/>
      <c r="C18" s="2"/>
      <c r="D18" s="2"/>
      <c r="E18" s="2"/>
      <c r="F18" s="2"/>
      <c r="G18" s="2"/>
      <c r="H18" s="2"/>
    </row>
    <row r="19" spans="1:8" ht="28" customHeight="1" x14ac:dyDescent="0.35">
      <c r="A19" s="10" t="s">
        <v>549</v>
      </c>
      <c r="B19" s="10" t="s">
        <v>550</v>
      </c>
      <c r="C19" s="10" t="s">
        <v>7</v>
      </c>
      <c r="D19" s="10" t="s">
        <v>551</v>
      </c>
      <c r="E19" s="10"/>
      <c r="F19" s="10"/>
      <c r="G19" s="10"/>
      <c r="H19" s="10"/>
    </row>
    <row r="20" spans="1:8" x14ac:dyDescent="0.35">
      <c r="A20" s="2" t="s">
        <v>552</v>
      </c>
      <c r="B20" s="12">
        <f>$B$7*$B$8</f>
        <v>7</v>
      </c>
      <c r="C20" s="2" t="s">
        <v>483</v>
      </c>
      <c r="D20" s="2" t="s">
        <v>553</v>
      </c>
      <c r="E20" s="2"/>
      <c r="F20" s="2"/>
      <c r="G20" s="2"/>
      <c r="H20" s="2"/>
    </row>
    <row r="21" spans="1:8" x14ac:dyDescent="0.35">
      <c r="A21" s="2" t="s">
        <v>554</v>
      </c>
      <c r="B21" s="12">
        <f>IF($B$9="Economical",INDEX(Assumptions!$C$13:$E$13,1,MATCH($B$5,Assumptions!$C$4:$E$4,0)),IF($B$9="Base incremental",INDEX(Assumptions!$C$14:$E$14,1,MATCH($B$5,Assumptions!$C$4:$E$4,0)),INDEX(Assumptions!$C$15:$E$15,1,MATCH($B$5,Assumptions!$C$4:$E$4,0))))</f>
        <v>4</v>
      </c>
      <c r="C21" s="2" t="s">
        <v>40</v>
      </c>
      <c r="D21" s="2" t="s">
        <v>555</v>
      </c>
      <c r="E21" s="2"/>
      <c r="F21" s="2"/>
      <c r="G21" s="2"/>
      <c r="H21" s="2"/>
    </row>
    <row r="22" spans="1:8" x14ac:dyDescent="0.35">
      <c r="A22" s="2" t="s">
        <v>556</v>
      </c>
      <c r="B22" s="12">
        <f>$B$6*$B$8*INDEX(Assumptions!$C$10:$E$10,1,MATCH($B$5,Assumptions!$C$4:$E$4,0))*$B$21*30*INDEX(Assumptions!$C$11:$E$11,1,MATCH($B$5,Assumptions!$C$4:$E$4,0))</f>
        <v>2520000</v>
      </c>
      <c r="C22" s="2" t="s">
        <v>557</v>
      </c>
      <c r="D22" s="2" t="s">
        <v>558</v>
      </c>
      <c r="E22" s="2"/>
      <c r="F22" s="2"/>
      <c r="G22" s="2"/>
      <c r="H22" s="2"/>
    </row>
    <row r="23" spans="1:8" ht="23" customHeight="1" x14ac:dyDescent="0.35">
      <c r="A23" s="2" t="s">
        <v>559</v>
      </c>
      <c r="B23" s="12">
        <f>$B$22/INDEX(Assumptions!$C$12:$E$12,1,MATCH($B$5,Assumptions!$C$4:$E$4,0))+$B$7*INDEX(Assumptions!$C$6:$E$6,1,MATCH($B$5,Assumptions!$C$4:$E$4,0))*300</f>
        <v>27600</v>
      </c>
      <c r="C23" s="2" t="s">
        <v>560</v>
      </c>
      <c r="D23" s="2" t="s">
        <v>561</v>
      </c>
      <c r="E23" s="2"/>
      <c r="F23" s="2"/>
      <c r="G23" s="2"/>
      <c r="H23" s="2"/>
    </row>
    <row r="24" spans="1:8" ht="23" customHeight="1" x14ac:dyDescent="0.35">
      <c r="A24" s="2" t="s">
        <v>562</v>
      </c>
      <c r="B24" s="12">
        <f>$B$6*$B$8*$B$21*30*3</f>
        <v>302400</v>
      </c>
      <c r="C24" s="2" t="s">
        <v>563</v>
      </c>
      <c r="D24" s="2" t="s">
        <v>563</v>
      </c>
      <c r="E24" s="2" t="s">
        <v>564</v>
      </c>
      <c r="F24" s="2"/>
      <c r="G24" s="2"/>
      <c r="H24" s="2"/>
    </row>
    <row r="25" spans="1:8" x14ac:dyDescent="0.35">
      <c r="A25" s="2" t="s">
        <v>565</v>
      </c>
      <c r="B25" s="12">
        <f>$B$6*INDEX(Assumptions!$C$7:$E$7,1,MATCH($B$5,Assumptions!$C$4:$E$4,0))</f>
        <v>240</v>
      </c>
      <c r="C25" s="2" t="s">
        <v>566</v>
      </c>
      <c r="D25" s="2" t="s">
        <v>567</v>
      </c>
      <c r="E25" s="2"/>
      <c r="F25" s="2"/>
      <c r="G25" s="2"/>
      <c r="H25" s="2"/>
    </row>
    <row r="26" spans="1:8" x14ac:dyDescent="0.35">
      <c r="A26" s="2" t="s">
        <v>568</v>
      </c>
      <c r="B26" s="12">
        <f>$B$6*INDEX(Assumptions!$C$8:$E$8,1,MATCH($B$5,Assumptions!$C$4:$E$4,0))</f>
        <v>4.8</v>
      </c>
      <c r="C26" s="2" t="s">
        <v>566</v>
      </c>
      <c r="D26" s="2" t="s">
        <v>569</v>
      </c>
      <c r="E26" s="2"/>
      <c r="F26" s="2"/>
      <c r="G26" s="2"/>
      <c r="H26" s="2"/>
    </row>
    <row r="27" spans="1:8" x14ac:dyDescent="0.35">
      <c r="A27" s="2" t="s">
        <v>570</v>
      </c>
      <c r="B27" s="12">
        <f>$B$6*INDEX(Assumptions!$C$9:$E$9,1,MATCH($B$5,Assumptions!$C$4:$E$4,0))</f>
        <v>36</v>
      </c>
      <c r="C27" s="2" t="s">
        <v>571</v>
      </c>
      <c r="D27" s="2" t="s">
        <v>572</v>
      </c>
      <c r="E27" s="2"/>
      <c r="F27" s="2"/>
      <c r="G27" s="2"/>
      <c r="H27" s="2"/>
    </row>
    <row r="28" spans="1:8" x14ac:dyDescent="0.35">
      <c r="A28" s="2" t="s">
        <v>573</v>
      </c>
      <c r="B28" s="12">
        <f>$B$6*IF($B$10="None",0,IF($B$10="Minimal",INDEX(Assumptions!$C$22:$E$22,1,MATCH($B$5,Assumptions!$C$4:$E$4,0)),IF($B$10="Standard",INDEX(Assumptions!$C$23:$E$23,1,MATCH($B$5,Assumptions!$C$4:$E$4,0)),INDEX(Assumptions!$C$24:$E$24,1,MATCH($B$5,Assumptions!$C$4:$E$4,0)))))*INDEX(Assumptions!$C$25:$E$25,1,MATCH($B$5,Assumptions!$C$4:$E$4,0))</f>
        <v>0</v>
      </c>
      <c r="C28" s="2" t="s">
        <v>574</v>
      </c>
      <c r="D28" s="2" t="s">
        <v>575</v>
      </c>
      <c r="E28" s="2"/>
      <c r="F28" s="2"/>
      <c r="G28" s="2"/>
      <c r="H28" s="2"/>
    </row>
    <row r="29" spans="1:8" ht="23" customHeight="1" x14ac:dyDescent="0.35">
      <c r="A29" s="2" t="s">
        <v>576</v>
      </c>
      <c r="B29" s="12">
        <f>$B$6*IF($B$10="None",0,IF($B$10="Minimal",INDEX(Assumptions!$C$22:$E$22,1,MATCH($B$5,Assumptions!$C$4:$E$4,0)),IF($B$10="Standard",INDEX(Assumptions!$C$23:$E$23,1,MATCH($B$5,Assumptions!$C$4:$E$4,0)),INDEX(Assumptions!$C$24:$E$24,1,MATCH($B$5,Assumptions!$C$4:$E$4,0)))))*INDEX(Assumptions!$C$26:$E$26,1,MATCH($B$5,Assumptions!$C$4:$E$4,0))</f>
        <v>0</v>
      </c>
      <c r="C29" s="2" t="s">
        <v>574</v>
      </c>
      <c r="D29" s="2" t="s">
        <v>577</v>
      </c>
      <c r="E29" s="2"/>
      <c r="F29" s="2"/>
      <c r="G29" s="2"/>
      <c r="H29" s="2"/>
    </row>
    <row r="30" spans="1:8" ht="23" x14ac:dyDescent="0.35">
      <c r="A30" s="2" t="s">
        <v>578</v>
      </c>
      <c r="B30" s="12">
        <f>IF($B$10="None",0,$B$6*INDEX(Assumptions!$C$33:$E$33,1,MATCH($B$5,Assumptions!$C$4:$E$4,0)))</f>
        <v>0</v>
      </c>
      <c r="C30" s="2" t="s">
        <v>579</v>
      </c>
      <c r="D30" s="2" t="s">
        <v>580</v>
      </c>
      <c r="E30" s="2" t="s">
        <v>581</v>
      </c>
      <c r="F30" s="2"/>
      <c r="G30" s="2"/>
      <c r="H30" s="2"/>
    </row>
    <row r="31" spans="1:8" x14ac:dyDescent="0.35">
      <c r="A31" s="2"/>
      <c r="B31" s="2"/>
      <c r="C31" s="2"/>
      <c r="D31" s="2"/>
      <c r="E31" s="2"/>
      <c r="F31" s="2"/>
      <c r="G31" s="2"/>
      <c r="H31" s="2"/>
    </row>
    <row r="32" spans="1:8" x14ac:dyDescent="0.35">
      <c r="A32" s="2"/>
      <c r="B32" s="2"/>
      <c r="C32" s="2"/>
      <c r="D32" s="2"/>
      <c r="E32" s="2"/>
      <c r="F32" s="2"/>
      <c r="G32" s="2"/>
      <c r="H32" s="2"/>
    </row>
    <row r="33" spans="1:8" ht="28" customHeight="1" x14ac:dyDescent="0.35">
      <c r="A33" s="10" t="s">
        <v>582</v>
      </c>
      <c r="B33" s="10" t="s">
        <v>583</v>
      </c>
      <c r="C33" s="10" t="s">
        <v>584</v>
      </c>
      <c r="D33" s="10" t="s">
        <v>585</v>
      </c>
      <c r="E33" s="10" t="s">
        <v>586</v>
      </c>
      <c r="F33" s="10"/>
      <c r="G33" s="10"/>
      <c r="H33" s="10"/>
    </row>
    <row r="34" spans="1:8" x14ac:dyDescent="0.35">
      <c r="A34" s="2" t="s">
        <v>587</v>
      </c>
      <c r="B34" s="13">
        <f>SUMIF('COGS Matrix'!$B$9:$B$45,"Edge",'COGS Matrix'!$L$9:$L$45)</f>
        <v>5</v>
      </c>
      <c r="C34" s="13">
        <f>SUMIF('COGS Matrix'!$B$9:$B$45,"Edge",'COGS Matrix'!$M$9:$M$45)</f>
        <v>6.8999999999999995</v>
      </c>
      <c r="D34" s="2" t="s">
        <v>588</v>
      </c>
      <c r="E34" s="2" t="s">
        <v>589</v>
      </c>
      <c r="F34" s="2"/>
      <c r="G34" s="2"/>
      <c r="H34" s="2"/>
    </row>
    <row r="35" spans="1:8" x14ac:dyDescent="0.35">
      <c r="A35" s="2" t="s">
        <v>590</v>
      </c>
      <c r="B35" s="13">
        <f>SUMIF('COGS Matrix'!$B$9:$B$45,"Evidence",'COGS Matrix'!$L$9:$L$45)</f>
        <v>12.45</v>
      </c>
      <c r="C35" s="13">
        <f>SUMIF('COGS Matrix'!$B$9:$B$45,"Evidence",'COGS Matrix'!$M$9:$M$45)</f>
        <v>17.180999999999997</v>
      </c>
      <c r="D35" s="2" t="s">
        <v>591</v>
      </c>
      <c r="E35" s="2" t="s">
        <v>592</v>
      </c>
      <c r="F35" s="2"/>
      <c r="G35" s="2"/>
      <c r="H35" s="2"/>
    </row>
    <row r="36" spans="1:8" x14ac:dyDescent="0.35">
      <c r="A36" s="2" t="s">
        <v>593</v>
      </c>
      <c r="B36" s="13">
        <f>SUM('COGS Matrix'!L17:L21)</f>
        <v>25</v>
      </c>
      <c r="C36" s="13">
        <f>SUM('COGS Matrix'!M17:M21)</f>
        <v>34.5</v>
      </c>
      <c r="D36" s="2" t="s">
        <v>594</v>
      </c>
      <c r="E36" s="2" t="s">
        <v>595</v>
      </c>
      <c r="F36" s="2"/>
      <c r="G36" s="2"/>
      <c r="H36" s="2"/>
    </row>
    <row r="37" spans="1:8" ht="23" x14ac:dyDescent="0.35">
      <c r="A37" s="2" t="s">
        <v>596</v>
      </c>
      <c r="B37" s="13">
        <f>0</f>
        <v>0</v>
      </c>
      <c r="C37" s="13">
        <f>0</f>
        <v>0</v>
      </c>
      <c r="D37" s="2" t="s">
        <v>597</v>
      </c>
      <c r="E37" s="2" t="s">
        <v>598</v>
      </c>
      <c r="F37" s="2"/>
      <c r="G37" s="2"/>
      <c r="H37" s="2"/>
    </row>
    <row r="38" spans="1:8" x14ac:dyDescent="0.35">
      <c r="A38" s="2" t="s">
        <v>599</v>
      </c>
      <c r="B38" s="13">
        <f>SUMIF('COGS Matrix'!$B$9:$B$45,"Connector",'COGS Matrix'!$L$9:$L$45)</f>
        <v>0</v>
      </c>
      <c r="C38" s="13">
        <f>SUMIF('COGS Matrix'!$B$9:$B$45,"Connector",'COGS Matrix'!$M$9:$M$45)</f>
        <v>0</v>
      </c>
      <c r="D38" s="2" t="s">
        <v>600</v>
      </c>
      <c r="E38" s="2" t="s">
        <v>601</v>
      </c>
      <c r="F38" s="2"/>
      <c r="G38" s="2"/>
      <c r="H38" s="2"/>
    </row>
    <row r="39" spans="1:8" ht="23" x14ac:dyDescent="0.35">
      <c r="A39" s="2" t="s">
        <v>602</v>
      </c>
      <c r="B39" s="13">
        <f>SUMIF('COGS Matrix'!$B$9:$B$45,"AI",'COGS Matrix'!$L$9:$L$45)</f>
        <v>0</v>
      </c>
      <c r="C39" s="13">
        <f>SUMIF('COGS Matrix'!$B$9:$B$45,"AI",'COGS Matrix'!$M$9:$M$45)</f>
        <v>0</v>
      </c>
      <c r="D39" s="2" t="s">
        <v>603</v>
      </c>
      <c r="E39" s="2" t="s">
        <v>604</v>
      </c>
      <c r="F39" s="2"/>
      <c r="G39" s="2"/>
      <c r="H39" s="2"/>
    </row>
    <row r="40" spans="1:8" x14ac:dyDescent="0.35">
      <c r="A40" s="2" t="s">
        <v>605</v>
      </c>
      <c r="B40" s="13">
        <f>SUMIF('COGS Matrix'!$B$9:$B$45,"Runtime",'COGS Matrix'!$L$9:$L$45)</f>
        <v>0</v>
      </c>
      <c r="C40" s="13">
        <f>SUMIF('COGS Matrix'!$B$9:$B$45,"Runtime",'COGS Matrix'!$M$9:$M$45)</f>
        <v>0</v>
      </c>
      <c r="D40" s="2" t="s">
        <v>606</v>
      </c>
      <c r="E40" s="2" t="s">
        <v>607</v>
      </c>
      <c r="F40" s="2"/>
      <c r="G40" s="2"/>
      <c r="H40" s="2"/>
    </row>
    <row r="41" spans="1:8" ht="23" x14ac:dyDescent="0.35">
      <c r="A41" s="2" t="s">
        <v>608</v>
      </c>
      <c r="B41" s="13">
        <f>SUMIF('COGS Matrix'!$B$9:$B$45,"Identity",'COGS Matrix'!$L$9:$L$45)</f>
        <v>0</v>
      </c>
      <c r="C41" s="13">
        <f>SUMIF('COGS Matrix'!$B$9:$B$45,"Identity",'COGS Matrix'!$M$9:$M$45)</f>
        <v>0</v>
      </c>
      <c r="D41" s="2" t="s">
        <v>609</v>
      </c>
      <c r="E41" s="2" t="s">
        <v>610</v>
      </c>
      <c r="F41" s="2"/>
      <c r="G41" s="2"/>
      <c r="H41" s="2"/>
    </row>
    <row r="42" spans="1:8" x14ac:dyDescent="0.35">
      <c r="A42" s="2" t="s">
        <v>611</v>
      </c>
      <c r="B42" s="13">
        <f>SUMIF('COGS Matrix'!$B$9:$B$45,"Observability",'COGS Matrix'!$L$9:$L$45)</f>
        <v>0</v>
      </c>
      <c r="C42" s="13">
        <f>SUMIF('COGS Matrix'!$B$9:$B$45,"Observability",'COGS Matrix'!$M$9:$M$45)</f>
        <v>0</v>
      </c>
      <c r="D42" s="2" t="s">
        <v>612</v>
      </c>
      <c r="E42" s="2" t="s">
        <v>613</v>
      </c>
      <c r="F42" s="2"/>
      <c r="G42" s="2"/>
      <c r="H42" s="2"/>
    </row>
    <row r="43" spans="1:8" x14ac:dyDescent="0.35">
      <c r="A43" s="2" t="s">
        <v>614</v>
      </c>
      <c r="B43" s="13">
        <f>SUMIF('COGS Matrix'!$B$9:$B$45,"Commercial",'COGS Matrix'!$L$9:$L$45)</f>
        <v>0</v>
      </c>
      <c r="C43" s="13">
        <f>SUMIF('COGS Matrix'!$B$9:$B$45,"Commercial",'COGS Matrix'!$M$9:$M$45)</f>
        <v>0</v>
      </c>
      <c r="D43" s="2" t="s">
        <v>615</v>
      </c>
      <c r="E43" s="2" t="s">
        <v>616</v>
      </c>
      <c r="F43" s="2"/>
      <c r="G43" s="2"/>
      <c r="H43" s="2"/>
    </row>
    <row r="44" spans="1:8" x14ac:dyDescent="0.35">
      <c r="A44" s="2" t="s">
        <v>617</v>
      </c>
      <c r="B44" s="13">
        <f>SUM('COGS Matrix'!L9:L45)</f>
        <v>42.45</v>
      </c>
      <c r="C44" s="6"/>
      <c r="D44" s="2" t="s">
        <v>618</v>
      </c>
      <c r="E44" s="2" t="s">
        <v>619</v>
      </c>
      <c r="F44" s="2"/>
      <c r="G44" s="2"/>
      <c r="H44" s="2"/>
    </row>
    <row r="45" spans="1:8" ht="23" x14ac:dyDescent="0.35">
      <c r="A45" s="2" t="s">
        <v>620</v>
      </c>
      <c r="B45" s="13">
        <f>SUM('COGS Matrix'!M9:M45)</f>
        <v>58.580999999999996</v>
      </c>
      <c r="C45" s="6"/>
      <c r="D45" s="2" t="s">
        <v>621</v>
      </c>
      <c r="E45" s="2" t="s">
        <v>622</v>
      </c>
      <c r="F45" s="2"/>
      <c r="G45" s="2"/>
      <c r="H45" s="2"/>
    </row>
    <row r="46" spans="1:8" ht="23" x14ac:dyDescent="0.35">
      <c r="A46" s="2" t="s">
        <v>623</v>
      </c>
      <c r="B46" s="20">
        <f>COUNTIF('COGS Matrix'!D9:D45,"*UNRESOLVED*")</f>
        <v>5</v>
      </c>
      <c r="C46" s="6"/>
      <c r="D46" s="2" t="s">
        <v>624</v>
      </c>
      <c r="E46" s="2" t="s">
        <v>625</v>
      </c>
      <c r="F46" s="2"/>
      <c r="G46" s="2"/>
      <c r="H46" s="2"/>
    </row>
    <row r="47" spans="1:8" x14ac:dyDescent="0.35">
      <c r="A47" s="2" t="s">
        <v>626</v>
      </c>
      <c r="B47" s="13">
        <f>B45</f>
        <v>58.580999999999996</v>
      </c>
      <c r="C47" s="6"/>
      <c r="D47" s="2" t="s">
        <v>618</v>
      </c>
      <c r="E47" s="2" t="s">
        <v>627</v>
      </c>
      <c r="F47" s="2"/>
      <c r="G47" s="2"/>
      <c r="H47" s="2"/>
    </row>
    <row r="48" spans="1:8" x14ac:dyDescent="0.35">
      <c r="A48" s="2" t="s">
        <v>628</v>
      </c>
      <c r="B48" s="13">
        <f>$B$7*$B$15+$B$6*$B$16</f>
        <v>5000</v>
      </c>
      <c r="C48" s="6"/>
      <c r="D48" s="2" t="s">
        <v>629</v>
      </c>
      <c r="E48" s="2" t="s">
        <v>630</v>
      </c>
      <c r="F48" s="2"/>
      <c r="G48" s="2"/>
      <c r="H48" s="2"/>
    </row>
    <row r="49" spans="1:8" x14ac:dyDescent="0.35">
      <c r="A49" s="2" t="s">
        <v>631</v>
      </c>
      <c r="B49" s="21">
        <f>IF(B48=0,0,(B48-B45)/B48)</f>
        <v>0.98828379999999993</v>
      </c>
      <c r="C49" s="6"/>
      <c r="D49" s="2" t="s">
        <v>121</v>
      </c>
      <c r="E49" s="2" t="s">
        <v>632</v>
      </c>
      <c r="F49" s="2"/>
      <c r="G49" s="2"/>
      <c r="H49" s="2"/>
    </row>
    <row r="50" spans="1:8" ht="23" x14ac:dyDescent="0.35">
      <c r="A50" s="2" t="s">
        <v>633</v>
      </c>
      <c r="B50" s="14" t="str">
        <f>IF(B46=0,"NONE","OPEN—SEE COGS MATRIX")</f>
        <v>OPEN—SEE COGS MATRIX</v>
      </c>
      <c r="C50" s="6"/>
      <c r="D50" s="2" t="s">
        <v>634</v>
      </c>
      <c r="E50" s="2" t="s">
        <v>635</v>
      </c>
      <c r="F50" s="2"/>
      <c r="G50" s="2"/>
      <c r="H50" s="2"/>
    </row>
    <row r="51" spans="1:8" x14ac:dyDescent="0.35">
      <c r="A51" s="2" t="s">
        <v>636</v>
      </c>
      <c r="B51" s="13">
        <f>B45/(1-INDEX(Assumptions!$C$46:$E$46,1,MATCH($B$5,Assumptions!$C$4:$E$4,0)))</f>
        <v>292.90500000000003</v>
      </c>
      <c r="C51" s="6"/>
      <c r="D51" s="2" t="s">
        <v>637</v>
      </c>
      <c r="E51" s="2" t="s">
        <v>638</v>
      </c>
      <c r="F51" s="2"/>
      <c r="G51" s="2"/>
      <c r="H51" s="2"/>
    </row>
    <row r="52" spans="1:8" x14ac:dyDescent="0.35">
      <c r="A52" s="2" t="s">
        <v>639</v>
      </c>
      <c r="B52" s="13">
        <f>0</f>
        <v>0</v>
      </c>
      <c r="C52" s="6"/>
      <c r="D52" s="2" t="s">
        <v>637</v>
      </c>
      <c r="E52" s="2" t="s">
        <v>640</v>
      </c>
      <c r="F52" s="2"/>
      <c r="G52" s="2"/>
      <c r="H52" s="2"/>
    </row>
    <row r="53" spans="1:8" ht="23" x14ac:dyDescent="0.35">
      <c r="A53" s="2" t="s">
        <v>641</v>
      </c>
      <c r="B53" s="13">
        <f>B51</f>
        <v>292.90500000000003</v>
      </c>
      <c r="C53" s="6"/>
      <c r="D53" s="2" t="s">
        <v>642</v>
      </c>
      <c r="E53" s="2" t="s">
        <v>643</v>
      </c>
      <c r="F53" s="2"/>
      <c r="G53" s="2"/>
      <c r="H53" s="2"/>
    </row>
  </sheetData>
  <mergeCells count="2">
    <mergeCell ref="A2:H2"/>
    <mergeCell ref="A1:H1"/>
  </mergeCells>
  <conditionalFormatting sqref="B49:B50">
    <cfRule type="cellIs" dxfId="3" priority="1" operator="lessThan">
      <formula>0.5</formula>
    </cfRule>
  </conditionalFormatting>
  <dataValidations count="5">
    <dataValidation type="list" sqref="B5" xr:uid="{00000000-0002-0000-0300-000000000000}">
      <formula1>"Low,Base,High"</formula1>
    </dataValidation>
    <dataValidation type="list" sqref="B9" xr:uid="{00000000-0002-0000-0300-000001000000}">
      <formula1>"Economical,Base incremental,Aggressive"</formula1>
    </dataValidation>
    <dataValidation type="list" sqref="B11" xr:uid="{00000000-0002-0000-0300-000002000000}">
      <formula1>"Shared,BYO,Dedicated"</formula1>
    </dataValidation>
    <dataValidation type="list" sqref="B12" xr:uid="{00000000-0002-0000-0300-000003000000}">
      <formula1>"Platform,Accelerator"</formula1>
    </dataValidation>
    <dataValidation type="list" sqref="B10" xr:uid="{00000000-0002-0000-0300-000004000000}">
      <formula1>"None,Minimal,Standard,Heavy"</formula1>
    </dataValidation>
  </dataValidations>
  <pageMargins left="0.25" right="0.25" top="0.5" bottom="0.5" header="0.5" footer="0.5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50"/>
  <sheetViews>
    <sheetView showGridLines="0" workbookViewId="0">
      <pane ySplit="8" topLeftCell="A9" activePane="bottomLeft" state="frozen"/>
      <selection pane="bottomLeft"/>
    </sheetView>
  </sheetViews>
  <sheetFormatPr defaultRowHeight="14.5" x14ac:dyDescent="0.35"/>
  <cols>
    <col min="1" max="1" width="16" customWidth="1"/>
    <col min="2" max="2" width="13" customWidth="1"/>
    <col min="3" max="3" width="28" customWidth="1"/>
    <col min="4" max="4" width="23" customWidth="1"/>
    <col min="5" max="5" width="18" customWidth="1"/>
    <col min="6" max="6" width="34" customWidth="1"/>
    <col min="7" max="7" width="36" customWidth="1"/>
    <col min="8" max="8" width="18" customWidth="1"/>
    <col min="9" max="9" width="14" customWidth="1"/>
    <col min="10" max="10" width="16" customWidth="1"/>
    <col min="11" max="11" width="20" customWidth="1"/>
    <col min="12" max="12" width="16" customWidth="1"/>
    <col min="13" max="13" width="18" customWidth="1"/>
    <col min="14" max="14" width="17" customWidth="1"/>
    <col min="15" max="15" width="18" customWidth="1"/>
    <col min="16" max="16" width="23" customWidth="1"/>
    <col min="17" max="17" width="30" customWidth="1"/>
    <col min="18" max="18" width="32" customWidth="1"/>
    <col min="19" max="19" width="18" customWidth="1"/>
    <col min="20" max="20" width="13" customWidth="1"/>
    <col min="21" max="21" width="38" customWidth="1"/>
    <col min="22" max="22" width="42" customWidth="1"/>
    <col min="23" max="23" width="34" customWidth="1"/>
  </cols>
  <sheetData>
    <row r="1" spans="1:23" ht="26" customHeight="1" x14ac:dyDescent="0.35">
      <c r="A1" s="44" t="s">
        <v>644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ht="34" customHeight="1" x14ac:dyDescent="0.35">
      <c r="A2" s="48" t="s">
        <v>645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4" spans="1:23" ht="32" customHeight="1" x14ac:dyDescent="0.35">
      <c r="A4" s="22" t="s">
        <v>646</v>
      </c>
      <c r="B4" s="23" t="str">
        <f>'Scenario Calculator'!B6&amp;" properties / "&amp;'Scenario Calculator'!B7&amp;" client(s) / "&amp;'Scenario Calculator'!B11</f>
        <v>120 properties / 1 client(s) / Shared</v>
      </c>
      <c r="C4" s="23"/>
      <c r="D4" s="22" t="s">
        <v>647</v>
      </c>
      <c r="E4" s="24">
        <f>SUM(L9:L45)</f>
        <v>42.45</v>
      </c>
      <c r="F4" s="23"/>
      <c r="G4" s="22" t="s">
        <v>648</v>
      </c>
      <c r="H4" s="24">
        <f>SUM(M9:M45)</f>
        <v>58.580999999999996</v>
      </c>
      <c r="I4" s="23"/>
      <c r="J4" s="22" t="s">
        <v>649</v>
      </c>
      <c r="K4" s="24">
        <f>H4/'Scenario Calculator'!B6</f>
        <v>0.48817499999999997</v>
      </c>
      <c r="L4" s="23"/>
      <c r="M4" s="22" t="s">
        <v>650</v>
      </c>
      <c r="N4" s="23">
        <f>COUNTIF(D9:D45,"*UNRESOLVED*")</f>
        <v>5</v>
      </c>
      <c r="O4" s="23"/>
      <c r="P4" s="22" t="s">
        <v>651</v>
      </c>
      <c r="Q4" s="25">
        <f>(1+INDEX(Assumptions!$C$44:$E$44,1,MATCH('Scenario Calculator'!$B$5,Assumptions!$C$4:$E$4,0)))*(1+INDEX(Assumptions!$C$45:$E$45,1,MATCH('Scenario Calculator'!$B$5,Assumptions!$C$4:$E$4,0)))</f>
        <v>1.38</v>
      </c>
      <c r="R4" s="23"/>
      <c r="S4" s="22" t="s">
        <v>652</v>
      </c>
      <c r="T4" s="23" t="s">
        <v>168</v>
      </c>
      <c r="U4" s="23"/>
      <c r="V4" s="23"/>
      <c r="W4" s="23"/>
    </row>
    <row r="6" spans="1:23" ht="30" customHeight="1" x14ac:dyDescent="0.35">
      <c r="A6" s="46" t="s">
        <v>653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</row>
    <row r="8" spans="1:23" ht="34" customHeight="1" x14ac:dyDescent="0.35">
      <c r="A8" s="17" t="s">
        <v>654</v>
      </c>
      <c r="B8" s="17" t="s">
        <v>655</v>
      </c>
      <c r="C8" s="17" t="s">
        <v>656</v>
      </c>
      <c r="D8" s="17" t="s">
        <v>657</v>
      </c>
      <c r="E8" s="17" t="s">
        <v>658</v>
      </c>
      <c r="F8" s="17" t="s">
        <v>659</v>
      </c>
      <c r="G8" s="17" t="s">
        <v>660</v>
      </c>
      <c r="H8" s="17" t="s">
        <v>661</v>
      </c>
      <c r="I8" s="17" t="s">
        <v>662</v>
      </c>
      <c r="J8" s="17" t="s">
        <v>152</v>
      </c>
      <c r="K8" s="17" t="s">
        <v>663</v>
      </c>
      <c r="L8" s="17" t="s">
        <v>664</v>
      </c>
      <c r="M8" s="17" t="s">
        <v>665</v>
      </c>
      <c r="N8" s="17" t="s">
        <v>666</v>
      </c>
      <c r="O8" s="17" t="s">
        <v>667</v>
      </c>
      <c r="P8" s="17" t="s">
        <v>668</v>
      </c>
      <c r="Q8" s="17" t="s">
        <v>669</v>
      </c>
      <c r="R8" s="17" t="s">
        <v>670</v>
      </c>
      <c r="S8" s="17" t="s">
        <v>671</v>
      </c>
      <c r="T8" s="17" t="s">
        <v>652</v>
      </c>
      <c r="U8" s="17" t="s">
        <v>156</v>
      </c>
      <c r="V8" s="17" t="s">
        <v>672</v>
      </c>
      <c r="W8" s="17" t="s">
        <v>586</v>
      </c>
    </row>
    <row r="9" spans="1:23" ht="56" customHeight="1" x14ac:dyDescent="0.35">
      <c r="A9" s="26" t="s">
        <v>673</v>
      </c>
      <c r="B9" s="27" t="s">
        <v>674</v>
      </c>
      <c r="C9" s="27" t="s">
        <v>675</v>
      </c>
      <c r="D9" s="28" t="s">
        <v>676</v>
      </c>
      <c r="E9" s="27" t="s">
        <v>677</v>
      </c>
      <c r="F9" s="27" t="s">
        <v>678</v>
      </c>
      <c r="G9" s="27" t="s">
        <v>679</v>
      </c>
      <c r="H9" s="27" t="s">
        <v>680</v>
      </c>
      <c r="I9" s="29">
        <v>5</v>
      </c>
      <c r="J9" s="30">
        <v>0</v>
      </c>
      <c r="K9" s="27" t="s">
        <v>681</v>
      </c>
      <c r="L9" s="31">
        <f>I9</f>
        <v>5</v>
      </c>
      <c r="M9" s="31">
        <f t="shared" ref="M9:M45" si="0">L9*$Q$4</f>
        <v>6.8999999999999995</v>
      </c>
      <c r="N9" s="27" t="s">
        <v>682</v>
      </c>
      <c r="O9" s="27" t="s">
        <v>683</v>
      </c>
      <c r="P9" s="27" t="s">
        <v>684</v>
      </c>
      <c r="Q9" s="27" t="s">
        <v>685</v>
      </c>
      <c r="R9" s="27" t="s">
        <v>686</v>
      </c>
      <c r="S9" s="27" t="s">
        <v>6</v>
      </c>
      <c r="T9" s="32" t="s">
        <v>168</v>
      </c>
      <c r="U9" s="33" t="s">
        <v>687</v>
      </c>
      <c r="V9" s="27" t="s">
        <v>688</v>
      </c>
      <c r="W9" s="27"/>
    </row>
    <row r="10" spans="1:23" ht="56" customHeight="1" x14ac:dyDescent="0.35">
      <c r="A10" s="26" t="s">
        <v>689</v>
      </c>
      <c r="B10" s="27" t="s">
        <v>674</v>
      </c>
      <c r="C10" s="27" t="s">
        <v>690</v>
      </c>
      <c r="D10" s="28" t="s">
        <v>691</v>
      </c>
      <c r="E10" s="27" t="s">
        <v>677</v>
      </c>
      <c r="F10" s="27" t="s">
        <v>692</v>
      </c>
      <c r="G10" s="27" t="s">
        <v>693</v>
      </c>
      <c r="H10" s="27" t="s">
        <v>694</v>
      </c>
      <c r="I10" s="29">
        <v>0.3</v>
      </c>
      <c r="J10" s="30">
        <v>10000000</v>
      </c>
      <c r="K10" s="27">
        <f>'Scenario Calculator'!B23</f>
        <v>27600</v>
      </c>
      <c r="L10" s="31">
        <f>MAX(0,(K10-J10)/1000000)*I10</f>
        <v>0</v>
      </c>
      <c r="M10" s="31">
        <f t="shared" si="0"/>
        <v>0</v>
      </c>
      <c r="N10" s="27" t="s">
        <v>695</v>
      </c>
      <c r="O10" s="27" t="s">
        <v>683</v>
      </c>
      <c r="P10" s="27" t="s">
        <v>696</v>
      </c>
      <c r="Q10" s="27" t="s">
        <v>697</v>
      </c>
      <c r="R10" s="27" t="s">
        <v>698</v>
      </c>
      <c r="S10" s="27" t="s">
        <v>6</v>
      </c>
      <c r="T10" s="32" t="s">
        <v>168</v>
      </c>
      <c r="U10" s="33" t="s">
        <v>699</v>
      </c>
      <c r="V10" s="27" t="s">
        <v>700</v>
      </c>
      <c r="W10" s="27"/>
    </row>
    <row r="11" spans="1:23" ht="56" customHeight="1" x14ac:dyDescent="0.35">
      <c r="A11" s="26" t="s">
        <v>701</v>
      </c>
      <c r="B11" s="27" t="s">
        <v>674</v>
      </c>
      <c r="C11" s="27" t="s">
        <v>702</v>
      </c>
      <c r="D11" s="28" t="s">
        <v>691</v>
      </c>
      <c r="E11" s="27" t="s">
        <v>677</v>
      </c>
      <c r="F11" s="27" t="s">
        <v>703</v>
      </c>
      <c r="G11" s="27" t="s">
        <v>704</v>
      </c>
      <c r="H11" s="27" t="s">
        <v>705</v>
      </c>
      <c r="I11" s="29">
        <v>0.02</v>
      </c>
      <c r="J11" s="30">
        <v>30000000</v>
      </c>
      <c r="K11" s="27">
        <f>'Scenario Calculator'!B23*INDEX(Assumptions!$C$16:$E$16,1,MATCH('Scenario Calculator'!$B$5,Assumptions!$C$4:$E$4,0))</f>
        <v>220800</v>
      </c>
      <c r="L11" s="31">
        <f>MAX(0,(K11-J11)/1000000)*I11</f>
        <v>0</v>
      </c>
      <c r="M11" s="31">
        <f t="shared" si="0"/>
        <v>0</v>
      </c>
      <c r="N11" s="27" t="s">
        <v>695</v>
      </c>
      <c r="O11" s="27" t="s">
        <v>683</v>
      </c>
      <c r="P11" s="27" t="s">
        <v>706</v>
      </c>
      <c r="Q11" s="27" t="s">
        <v>707</v>
      </c>
      <c r="R11" s="27" t="s">
        <v>708</v>
      </c>
      <c r="S11" s="27" t="s">
        <v>6</v>
      </c>
      <c r="T11" s="32" t="s">
        <v>168</v>
      </c>
      <c r="U11" s="33" t="s">
        <v>709</v>
      </c>
      <c r="V11" s="27" t="s">
        <v>710</v>
      </c>
      <c r="W11" s="27"/>
    </row>
    <row r="12" spans="1:23" ht="56" customHeight="1" x14ac:dyDescent="0.35">
      <c r="A12" s="26" t="s">
        <v>711</v>
      </c>
      <c r="B12" s="27" t="s">
        <v>674</v>
      </c>
      <c r="C12" s="27" t="s">
        <v>712</v>
      </c>
      <c r="D12" s="28" t="s">
        <v>713</v>
      </c>
      <c r="E12" s="27" t="s">
        <v>677</v>
      </c>
      <c r="F12" s="27" t="s">
        <v>714</v>
      </c>
      <c r="G12" s="27" t="s">
        <v>715</v>
      </c>
      <c r="H12" s="27" t="s">
        <v>716</v>
      </c>
      <c r="I12" s="29">
        <v>0.4</v>
      </c>
      <c r="J12" s="30">
        <v>1000000</v>
      </c>
      <c r="K12" s="27">
        <f>'Scenario Calculator'!B24</f>
        <v>302400</v>
      </c>
      <c r="L12" s="31">
        <f>MAX(0,(K12-J12)/1000000)*I12</f>
        <v>0</v>
      </c>
      <c r="M12" s="31">
        <f t="shared" si="0"/>
        <v>0</v>
      </c>
      <c r="N12" s="27" t="s">
        <v>695</v>
      </c>
      <c r="O12" s="27" t="s">
        <v>683</v>
      </c>
      <c r="P12" s="27" t="s">
        <v>717</v>
      </c>
      <c r="Q12" s="27" t="s">
        <v>718</v>
      </c>
      <c r="R12" s="27" t="s">
        <v>719</v>
      </c>
      <c r="S12" s="27" t="s">
        <v>720</v>
      </c>
      <c r="T12" s="32" t="s">
        <v>168</v>
      </c>
      <c r="U12" s="33" t="s">
        <v>721</v>
      </c>
      <c r="V12" s="27" t="s">
        <v>722</v>
      </c>
      <c r="W12" s="27"/>
    </row>
    <row r="13" spans="1:23" ht="56" customHeight="1" x14ac:dyDescent="0.35">
      <c r="A13" s="26" t="s">
        <v>723</v>
      </c>
      <c r="B13" s="27" t="s">
        <v>674</v>
      </c>
      <c r="C13" s="27" t="s">
        <v>195</v>
      </c>
      <c r="D13" s="28" t="s">
        <v>691</v>
      </c>
      <c r="E13" s="27" t="s">
        <v>677</v>
      </c>
      <c r="F13" s="27" t="s">
        <v>724</v>
      </c>
      <c r="G13" s="27" t="s">
        <v>725</v>
      </c>
      <c r="H13" s="27" t="s">
        <v>726</v>
      </c>
      <c r="I13" s="29">
        <v>0.6</v>
      </c>
      <c r="J13" s="30">
        <v>20000000</v>
      </c>
      <c r="K13" s="27">
        <f>'Scenario Calculator'!B23*INDEX(Assumptions!$C$17:$E$17,1,MATCH('Scenario Calculator'!$B$5,Assumptions!$C$4:$E$4,0))*INDEX(Assumptions!$C$18:$E$18,1,MATCH('Scenario Calculator'!$B$5,Assumptions!$C$4:$E$4,0))</f>
        <v>2760</v>
      </c>
      <c r="L13" s="31">
        <f>MAX(0,(K13-J13)/1000000)*I13</f>
        <v>0</v>
      </c>
      <c r="M13" s="31">
        <f t="shared" si="0"/>
        <v>0</v>
      </c>
      <c r="N13" s="27" t="s">
        <v>695</v>
      </c>
      <c r="O13" s="27" t="s">
        <v>683</v>
      </c>
      <c r="P13" s="27" t="s">
        <v>727</v>
      </c>
      <c r="Q13" s="27" t="s">
        <v>728</v>
      </c>
      <c r="R13" s="27" t="s">
        <v>729</v>
      </c>
      <c r="S13" s="27" t="s">
        <v>6</v>
      </c>
      <c r="T13" s="32" t="s">
        <v>168</v>
      </c>
      <c r="U13" s="33" t="s">
        <v>730</v>
      </c>
      <c r="V13" s="27" t="s">
        <v>206</v>
      </c>
      <c r="W13" s="27"/>
    </row>
    <row r="14" spans="1:23" ht="56" customHeight="1" x14ac:dyDescent="0.35">
      <c r="A14" s="26" t="s">
        <v>731</v>
      </c>
      <c r="B14" s="27" t="s">
        <v>20</v>
      </c>
      <c r="C14" s="27" t="s">
        <v>732</v>
      </c>
      <c r="D14" s="28" t="s">
        <v>733</v>
      </c>
      <c r="E14" s="27" t="s">
        <v>677</v>
      </c>
      <c r="F14" s="27" t="s">
        <v>734</v>
      </c>
      <c r="G14" s="27" t="s">
        <v>735</v>
      </c>
      <c r="H14" s="27" t="s">
        <v>736</v>
      </c>
      <c r="I14" s="29">
        <v>1.4999999999999999E-2</v>
      </c>
      <c r="J14" s="30">
        <v>10</v>
      </c>
      <c r="K14" s="27">
        <f>'Scenario Calculator'!B25</f>
        <v>240</v>
      </c>
      <c r="L14" s="31">
        <f>MAX(0,CEILING(K14,1)-J14)*I14</f>
        <v>3.4499999999999997</v>
      </c>
      <c r="M14" s="31">
        <f t="shared" si="0"/>
        <v>4.7609999999999992</v>
      </c>
      <c r="N14" s="27" t="s">
        <v>737</v>
      </c>
      <c r="O14" s="27" t="s">
        <v>683</v>
      </c>
      <c r="P14" s="27" t="s">
        <v>738</v>
      </c>
      <c r="Q14" s="27" t="s">
        <v>739</v>
      </c>
      <c r="R14" s="27" t="s">
        <v>740</v>
      </c>
      <c r="S14" s="27" t="s">
        <v>720</v>
      </c>
      <c r="T14" s="32" t="s">
        <v>168</v>
      </c>
      <c r="U14" s="33" t="s">
        <v>741</v>
      </c>
      <c r="V14" s="27" t="s">
        <v>742</v>
      </c>
      <c r="W14" s="27"/>
    </row>
    <row r="15" spans="1:23" ht="56" customHeight="1" x14ac:dyDescent="0.35">
      <c r="A15" s="26" t="s">
        <v>743</v>
      </c>
      <c r="B15" s="27" t="s">
        <v>20</v>
      </c>
      <c r="C15" s="27" t="s">
        <v>744</v>
      </c>
      <c r="D15" s="28" t="s">
        <v>733</v>
      </c>
      <c r="E15" s="27" t="s">
        <v>677</v>
      </c>
      <c r="F15" s="27" t="s">
        <v>745</v>
      </c>
      <c r="G15" s="27" t="s">
        <v>746</v>
      </c>
      <c r="H15" s="27" t="s">
        <v>716</v>
      </c>
      <c r="I15" s="29">
        <v>4.5</v>
      </c>
      <c r="J15" s="30">
        <v>1000000</v>
      </c>
      <c r="K15" s="27">
        <f>'Scenario Calculator'!B22</f>
        <v>2520000</v>
      </c>
      <c r="L15" s="31">
        <f>MAX(0,CEILING(K15/1000000,1)-J15/1000000)*I15</f>
        <v>9</v>
      </c>
      <c r="M15" s="31">
        <f t="shared" si="0"/>
        <v>12.419999999999998</v>
      </c>
      <c r="N15" s="27" t="s">
        <v>747</v>
      </c>
      <c r="O15" s="27" t="s">
        <v>683</v>
      </c>
      <c r="P15" s="27" t="s">
        <v>748</v>
      </c>
      <c r="Q15" s="27" t="s">
        <v>749</v>
      </c>
      <c r="R15" s="27" t="s">
        <v>750</v>
      </c>
      <c r="S15" s="27" t="s">
        <v>751</v>
      </c>
      <c r="T15" s="32" t="s">
        <v>168</v>
      </c>
      <c r="U15" s="33" t="s">
        <v>752</v>
      </c>
      <c r="V15" s="27" t="s">
        <v>753</v>
      </c>
      <c r="W15" s="27"/>
    </row>
    <row r="16" spans="1:23" ht="56" customHeight="1" x14ac:dyDescent="0.35">
      <c r="A16" s="26" t="s">
        <v>754</v>
      </c>
      <c r="B16" s="27" t="s">
        <v>20</v>
      </c>
      <c r="C16" s="27" t="s">
        <v>755</v>
      </c>
      <c r="D16" s="28" t="s">
        <v>733</v>
      </c>
      <c r="E16" s="27" t="s">
        <v>677</v>
      </c>
      <c r="F16" s="27" t="s">
        <v>756</v>
      </c>
      <c r="G16" s="27" t="s">
        <v>757</v>
      </c>
      <c r="H16" s="27" t="s">
        <v>716</v>
      </c>
      <c r="I16" s="29">
        <v>0.36</v>
      </c>
      <c r="J16" s="30">
        <v>10000000</v>
      </c>
      <c r="K16" s="27">
        <f>'Scenario Calculator'!B23</f>
        <v>27600</v>
      </c>
      <c r="L16" s="31">
        <f>MAX(0,CEILING(K16/1000000,1)-J16/1000000)*I16</f>
        <v>0</v>
      </c>
      <c r="M16" s="31">
        <f t="shared" si="0"/>
        <v>0</v>
      </c>
      <c r="N16" s="27" t="s">
        <v>747</v>
      </c>
      <c r="O16" s="27" t="s">
        <v>683</v>
      </c>
      <c r="P16" s="27" t="s">
        <v>748</v>
      </c>
      <c r="Q16" s="27" t="s">
        <v>758</v>
      </c>
      <c r="R16" s="27" t="s">
        <v>759</v>
      </c>
      <c r="S16" s="27" t="s">
        <v>751</v>
      </c>
      <c r="T16" s="32" t="s">
        <v>168</v>
      </c>
      <c r="U16" s="33" t="s">
        <v>760</v>
      </c>
      <c r="V16" s="27" t="s">
        <v>761</v>
      </c>
      <c r="W16" s="27"/>
    </row>
    <row r="17" spans="1:23" ht="56" customHeight="1" x14ac:dyDescent="0.35">
      <c r="A17" s="26" t="s">
        <v>762</v>
      </c>
      <c r="B17" s="27" t="s">
        <v>763</v>
      </c>
      <c r="C17" s="27" t="s">
        <v>764</v>
      </c>
      <c r="D17" s="28" t="s">
        <v>676</v>
      </c>
      <c r="E17" s="27" t="s">
        <v>677</v>
      </c>
      <c r="F17" s="27" t="s">
        <v>765</v>
      </c>
      <c r="G17" s="27" t="s">
        <v>766</v>
      </c>
      <c r="H17" s="27" t="s">
        <v>767</v>
      </c>
      <c r="I17" s="29">
        <v>25</v>
      </c>
      <c r="J17" s="30">
        <v>0</v>
      </c>
      <c r="K17" s="27">
        <f>IF('Scenario Calculator'!B11="BYO",0,IF('Scenario Calculator'!B11="Shared",1,'Scenario Calculator'!B7))</f>
        <v>1</v>
      </c>
      <c r="L17" s="31">
        <f>K17*I17</f>
        <v>25</v>
      </c>
      <c r="M17" s="31">
        <f t="shared" si="0"/>
        <v>34.5</v>
      </c>
      <c r="N17" s="27" t="s">
        <v>768</v>
      </c>
      <c r="O17" s="27" t="s">
        <v>769</v>
      </c>
      <c r="P17" s="27" t="s">
        <v>770</v>
      </c>
      <c r="Q17" s="27" t="s">
        <v>771</v>
      </c>
      <c r="R17" s="27" t="s">
        <v>772</v>
      </c>
      <c r="S17" s="27" t="s">
        <v>6</v>
      </c>
      <c r="T17" s="32" t="s">
        <v>168</v>
      </c>
      <c r="U17" s="33" t="s">
        <v>773</v>
      </c>
      <c r="V17" s="27" t="s">
        <v>774</v>
      </c>
      <c r="W17" s="27"/>
    </row>
    <row r="18" spans="1:23" ht="56" customHeight="1" x14ac:dyDescent="0.35">
      <c r="A18" s="26" t="s">
        <v>775</v>
      </c>
      <c r="B18" s="27" t="s">
        <v>763</v>
      </c>
      <c r="C18" s="27" t="s">
        <v>776</v>
      </c>
      <c r="D18" s="28" t="s">
        <v>691</v>
      </c>
      <c r="E18" s="27" t="s">
        <v>677</v>
      </c>
      <c r="F18" s="27" t="s">
        <v>777</v>
      </c>
      <c r="G18" s="27" t="s">
        <v>778</v>
      </c>
      <c r="H18" s="27" t="s">
        <v>779</v>
      </c>
      <c r="I18" s="29">
        <v>10</v>
      </c>
      <c r="J18" s="30">
        <v>10</v>
      </c>
      <c r="K18" s="27">
        <f>IF('Scenario Calculator'!B11="BYO",0,IF('Scenario Calculator'!B11="Shared",1,'Scenario Calculator'!B7))</f>
        <v>1</v>
      </c>
      <c r="L18" s="31">
        <f>IF('Scenario Calculator'!B11="BYO",0,K18*MAX(0,MAX(IF('Scenario Calculator'!B22&lt;20000000,10,IF('Scenario Calculator'!B22&lt;100000000,15,IF('Scenario Calculator'!B22&lt;500000000,60,111))),IF('Scenario Calculator'!B14=1,15,0))-10))</f>
        <v>0</v>
      </c>
      <c r="M18" s="31">
        <f t="shared" si="0"/>
        <v>0</v>
      </c>
      <c r="N18" s="27" t="s">
        <v>780</v>
      </c>
      <c r="O18" s="27" t="s">
        <v>769</v>
      </c>
      <c r="P18" s="27" t="s">
        <v>781</v>
      </c>
      <c r="Q18" s="27" t="s">
        <v>782</v>
      </c>
      <c r="R18" s="27" t="s">
        <v>783</v>
      </c>
      <c r="S18" s="27" t="s">
        <v>784</v>
      </c>
      <c r="T18" s="32" t="s">
        <v>168</v>
      </c>
      <c r="U18" s="33" t="s">
        <v>785</v>
      </c>
      <c r="V18" s="27" t="s">
        <v>786</v>
      </c>
      <c r="W18" s="27"/>
    </row>
    <row r="19" spans="1:23" ht="56" customHeight="1" x14ac:dyDescent="0.35">
      <c r="A19" s="26" t="s">
        <v>787</v>
      </c>
      <c r="B19" s="27" t="s">
        <v>763</v>
      </c>
      <c r="C19" s="27" t="s">
        <v>788</v>
      </c>
      <c r="D19" s="28" t="s">
        <v>691</v>
      </c>
      <c r="E19" s="27" t="s">
        <v>677</v>
      </c>
      <c r="F19" s="27" t="s">
        <v>789</v>
      </c>
      <c r="G19" s="27" t="s">
        <v>790</v>
      </c>
      <c r="H19" s="27" t="s">
        <v>736</v>
      </c>
      <c r="I19" s="29">
        <v>0.125</v>
      </c>
      <c r="J19" s="30">
        <v>8</v>
      </c>
      <c r="K19" s="27">
        <f>'Scenario Calculator'!B26</f>
        <v>4.8</v>
      </c>
      <c r="L19" s="31">
        <f>IF('Scenario Calculator'!B11="BYO",0,MAX(0,K19-J19*IF('Scenario Calculator'!B11="Shared",1,'Scenario Calculator'!B7))*I19)</f>
        <v>0</v>
      </c>
      <c r="M19" s="31">
        <f t="shared" si="0"/>
        <v>0</v>
      </c>
      <c r="N19" s="27" t="s">
        <v>791</v>
      </c>
      <c r="O19" s="27" t="s">
        <v>683</v>
      </c>
      <c r="P19" s="27" t="s">
        <v>792</v>
      </c>
      <c r="Q19" s="27" t="s">
        <v>793</v>
      </c>
      <c r="R19" s="27" t="s">
        <v>794</v>
      </c>
      <c r="S19" s="27" t="s">
        <v>720</v>
      </c>
      <c r="T19" s="32" t="s">
        <v>168</v>
      </c>
      <c r="U19" s="33" t="s">
        <v>795</v>
      </c>
      <c r="V19" s="27" t="s">
        <v>796</v>
      </c>
      <c r="W19" s="27"/>
    </row>
    <row r="20" spans="1:23" ht="56" customHeight="1" x14ac:dyDescent="0.35">
      <c r="A20" s="26" t="s">
        <v>797</v>
      </c>
      <c r="B20" s="27" t="s">
        <v>763</v>
      </c>
      <c r="C20" s="27" t="s">
        <v>798</v>
      </c>
      <c r="D20" s="28" t="s">
        <v>691</v>
      </c>
      <c r="E20" s="27" t="s">
        <v>677</v>
      </c>
      <c r="F20" s="27" t="s">
        <v>799</v>
      </c>
      <c r="G20" s="27" t="s">
        <v>800</v>
      </c>
      <c r="H20" s="27" t="s">
        <v>736</v>
      </c>
      <c r="I20" s="29">
        <v>0.09</v>
      </c>
      <c r="J20" s="30">
        <v>250</v>
      </c>
      <c r="K20" s="27">
        <f>'Scenario Calculator'!B27</f>
        <v>36</v>
      </c>
      <c r="L20" s="31">
        <f>IF('Scenario Calculator'!B11="BYO",0,MAX(0,K20-J20*IF('Scenario Calculator'!B11="Shared",1,'Scenario Calculator'!B7))*I20)</f>
        <v>0</v>
      </c>
      <c r="M20" s="31">
        <f t="shared" si="0"/>
        <v>0</v>
      </c>
      <c r="N20" s="27" t="s">
        <v>791</v>
      </c>
      <c r="O20" s="27" t="s">
        <v>683</v>
      </c>
      <c r="P20" s="27" t="s">
        <v>801</v>
      </c>
      <c r="Q20" s="27" t="s">
        <v>802</v>
      </c>
      <c r="R20" s="27" t="s">
        <v>803</v>
      </c>
      <c r="S20" s="27" t="s">
        <v>720</v>
      </c>
      <c r="T20" s="32" t="s">
        <v>168</v>
      </c>
      <c r="U20" s="33" t="s">
        <v>804</v>
      </c>
      <c r="V20" s="27" t="s">
        <v>805</v>
      </c>
      <c r="W20" s="27"/>
    </row>
    <row r="21" spans="1:23" ht="56" customHeight="1" x14ac:dyDescent="0.35">
      <c r="A21" s="26" t="s">
        <v>806</v>
      </c>
      <c r="B21" s="27" t="s">
        <v>807</v>
      </c>
      <c r="C21" s="27" t="s">
        <v>808</v>
      </c>
      <c r="D21" s="34" t="s">
        <v>809</v>
      </c>
      <c r="E21" s="27" t="s">
        <v>810</v>
      </c>
      <c r="F21" s="27" t="s">
        <v>811</v>
      </c>
      <c r="G21" s="27" t="s">
        <v>812</v>
      </c>
      <c r="H21" s="27" t="s">
        <v>813</v>
      </c>
      <c r="I21" s="29">
        <v>0.13700000000000001</v>
      </c>
      <c r="J21" s="30">
        <v>0</v>
      </c>
      <c r="K21" s="27">
        <f>IF('Scenario Calculator'!B14=1,730*IF('Scenario Calculator'!B11="Shared",1,IF('Scenario Calculator'!B11="Dedicated",'Scenario Calculator'!B7,0)),0)</f>
        <v>0</v>
      </c>
      <c r="L21" s="31">
        <f>K21*I21</f>
        <v>0</v>
      </c>
      <c r="M21" s="31">
        <f t="shared" si="0"/>
        <v>0</v>
      </c>
      <c r="N21" s="27" t="s">
        <v>814</v>
      </c>
      <c r="O21" s="27" t="s">
        <v>815</v>
      </c>
      <c r="P21" s="27" t="s">
        <v>816</v>
      </c>
      <c r="Q21" s="27" t="s">
        <v>817</v>
      </c>
      <c r="R21" s="27" t="s">
        <v>818</v>
      </c>
      <c r="S21" s="27" t="s">
        <v>6</v>
      </c>
      <c r="T21" s="32" t="s">
        <v>168</v>
      </c>
      <c r="U21" s="33" t="s">
        <v>819</v>
      </c>
      <c r="V21" s="27" t="s">
        <v>820</v>
      </c>
      <c r="W21" s="27"/>
    </row>
    <row r="22" spans="1:23" ht="56" customHeight="1" x14ac:dyDescent="0.35">
      <c r="A22" s="26" t="s">
        <v>821</v>
      </c>
      <c r="B22" s="27" t="s">
        <v>46</v>
      </c>
      <c r="C22" s="27" t="s">
        <v>822</v>
      </c>
      <c r="D22" s="35" t="s">
        <v>823</v>
      </c>
      <c r="E22" s="27" t="s">
        <v>824</v>
      </c>
      <c r="F22" s="27" t="s">
        <v>825</v>
      </c>
      <c r="G22" s="27" t="s">
        <v>826</v>
      </c>
      <c r="H22" s="27" t="s">
        <v>827</v>
      </c>
      <c r="I22" s="29"/>
      <c r="J22" s="30">
        <v>0</v>
      </c>
      <c r="K22" s="27" t="s">
        <v>828</v>
      </c>
      <c r="L22" s="31">
        <f>0</f>
        <v>0</v>
      </c>
      <c r="M22" s="31">
        <f t="shared" si="0"/>
        <v>0</v>
      </c>
      <c r="N22" s="27" t="s">
        <v>829</v>
      </c>
      <c r="O22" s="27" t="s">
        <v>683</v>
      </c>
      <c r="P22" s="27" t="s">
        <v>830</v>
      </c>
      <c r="Q22" s="27" t="s">
        <v>831</v>
      </c>
      <c r="R22" s="27" t="s">
        <v>832</v>
      </c>
      <c r="S22" s="27" t="s">
        <v>833</v>
      </c>
      <c r="T22" s="32" t="s">
        <v>168</v>
      </c>
      <c r="U22" s="33" t="s">
        <v>834</v>
      </c>
      <c r="V22" s="27" t="s">
        <v>835</v>
      </c>
      <c r="W22" s="27"/>
    </row>
    <row r="23" spans="1:23" ht="56" customHeight="1" x14ac:dyDescent="0.35">
      <c r="A23" s="26" t="s">
        <v>836</v>
      </c>
      <c r="B23" s="27" t="s">
        <v>46</v>
      </c>
      <c r="C23" s="27" t="s">
        <v>837</v>
      </c>
      <c r="D23" s="34" t="s">
        <v>809</v>
      </c>
      <c r="E23" s="27" t="s">
        <v>838</v>
      </c>
      <c r="F23" s="27" t="s">
        <v>839</v>
      </c>
      <c r="G23" s="27" t="s">
        <v>840</v>
      </c>
      <c r="H23" s="27" t="s">
        <v>841</v>
      </c>
      <c r="I23" s="29">
        <v>25</v>
      </c>
      <c r="J23" s="30">
        <v>0</v>
      </c>
      <c r="K23" s="27" t="s">
        <v>842</v>
      </c>
      <c r="L23" s="31">
        <f>0</f>
        <v>0</v>
      </c>
      <c r="M23" s="31">
        <f t="shared" si="0"/>
        <v>0</v>
      </c>
      <c r="N23" s="27" t="s">
        <v>843</v>
      </c>
      <c r="O23" s="27" t="s">
        <v>844</v>
      </c>
      <c r="P23" s="27" t="s">
        <v>845</v>
      </c>
      <c r="Q23" s="27" t="s">
        <v>846</v>
      </c>
      <c r="R23" s="27" t="s">
        <v>847</v>
      </c>
      <c r="S23" s="27" t="s">
        <v>848</v>
      </c>
      <c r="T23" s="32" t="s">
        <v>168</v>
      </c>
      <c r="U23" s="33" t="s">
        <v>849</v>
      </c>
      <c r="V23" s="27" t="s">
        <v>850</v>
      </c>
      <c r="W23" s="27"/>
    </row>
    <row r="24" spans="1:23" ht="56" customHeight="1" x14ac:dyDescent="0.35">
      <c r="A24" s="26" t="s">
        <v>851</v>
      </c>
      <c r="B24" s="27" t="s">
        <v>852</v>
      </c>
      <c r="C24" s="27" t="s">
        <v>853</v>
      </c>
      <c r="D24" s="34" t="s">
        <v>809</v>
      </c>
      <c r="E24" s="27" t="s">
        <v>810</v>
      </c>
      <c r="F24" s="27" t="s">
        <v>854</v>
      </c>
      <c r="G24" s="27" t="s">
        <v>855</v>
      </c>
      <c r="H24" s="27" t="s">
        <v>856</v>
      </c>
      <c r="I24" s="29">
        <v>50</v>
      </c>
      <c r="J24" s="30">
        <v>20</v>
      </c>
      <c r="K24" s="27">
        <f>ROUNDUP('Scenario Calculator'!B20*INDEX(Assumptions!$C$20:$E$20,1,MATCH('Scenario Calculator'!$B$5,Assumptions!$C$4:$E$4,0)),0)</f>
        <v>0</v>
      </c>
      <c r="L24" s="31">
        <f>IF(K24=0,0,I24+MAX(0,K24-J24)*1)</f>
        <v>0</v>
      </c>
      <c r="M24" s="31">
        <f t="shared" si="0"/>
        <v>0</v>
      </c>
      <c r="N24" s="27" t="s">
        <v>857</v>
      </c>
      <c r="O24" s="27" t="s">
        <v>858</v>
      </c>
      <c r="P24" s="27" t="s">
        <v>859</v>
      </c>
      <c r="Q24" s="27" t="s">
        <v>860</v>
      </c>
      <c r="R24" s="27" t="s">
        <v>861</v>
      </c>
      <c r="S24" s="27" t="s">
        <v>6</v>
      </c>
      <c r="T24" s="32" t="s">
        <v>168</v>
      </c>
      <c r="U24" s="33" t="s">
        <v>862</v>
      </c>
      <c r="V24" s="27" t="s">
        <v>863</v>
      </c>
      <c r="W24" s="27"/>
    </row>
    <row r="25" spans="1:23" ht="56" customHeight="1" x14ac:dyDescent="0.35">
      <c r="A25" s="26" t="s">
        <v>864</v>
      </c>
      <c r="B25" s="27" t="s">
        <v>72</v>
      </c>
      <c r="C25" s="27" t="s">
        <v>865</v>
      </c>
      <c r="D25" s="34" t="s">
        <v>866</v>
      </c>
      <c r="E25" s="27" t="s">
        <v>810</v>
      </c>
      <c r="F25" s="27" t="s">
        <v>867</v>
      </c>
      <c r="G25" s="27" t="s">
        <v>868</v>
      </c>
      <c r="H25" s="27" t="s">
        <v>869</v>
      </c>
      <c r="I25" s="29">
        <v>0.3</v>
      </c>
      <c r="J25" s="30">
        <v>0</v>
      </c>
      <c r="K25" s="27">
        <f>'Scenario Calculator'!B28</f>
        <v>0</v>
      </c>
      <c r="L25" s="31">
        <f>K25/1000000*I25</f>
        <v>0</v>
      </c>
      <c r="M25" s="31">
        <f t="shared" si="0"/>
        <v>0</v>
      </c>
      <c r="N25" s="27" t="s">
        <v>870</v>
      </c>
      <c r="O25" s="27" t="s">
        <v>871</v>
      </c>
      <c r="P25" s="27" t="s">
        <v>872</v>
      </c>
      <c r="Q25" s="27" t="s">
        <v>873</v>
      </c>
      <c r="R25" s="27" t="s">
        <v>874</v>
      </c>
      <c r="S25" s="27" t="s">
        <v>875</v>
      </c>
      <c r="T25" s="32" t="s">
        <v>168</v>
      </c>
      <c r="U25" s="33" t="s">
        <v>876</v>
      </c>
      <c r="V25" s="27" t="s">
        <v>877</v>
      </c>
      <c r="W25" s="27"/>
    </row>
    <row r="26" spans="1:23" ht="56" customHeight="1" x14ac:dyDescent="0.35">
      <c r="A26" s="26" t="s">
        <v>878</v>
      </c>
      <c r="B26" s="27" t="s">
        <v>72</v>
      </c>
      <c r="C26" s="27" t="s">
        <v>879</v>
      </c>
      <c r="D26" s="34" t="s">
        <v>866</v>
      </c>
      <c r="E26" s="27" t="s">
        <v>810</v>
      </c>
      <c r="F26" s="27" t="s">
        <v>880</v>
      </c>
      <c r="G26" s="27" t="s">
        <v>868</v>
      </c>
      <c r="H26" s="27" t="s">
        <v>869</v>
      </c>
      <c r="I26" s="29">
        <v>2.5</v>
      </c>
      <c r="J26" s="30">
        <v>0</v>
      </c>
      <c r="K26" s="27">
        <f>'Scenario Calculator'!B29</f>
        <v>0</v>
      </c>
      <c r="L26" s="31">
        <f>K26/1000000*I26</f>
        <v>0</v>
      </c>
      <c r="M26" s="31">
        <f t="shared" si="0"/>
        <v>0</v>
      </c>
      <c r="N26" s="27" t="s">
        <v>870</v>
      </c>
      <c r="O26" s="27" t="s">
        <v>871</v>
      </c>
      <c r="P26" s="27" t="s">
        <v>872</v>
      </c>
      <c r="Q26" s="27" t="s">
        <v>873</v>
      </c>
      <c r="R26" s="27" t="s">
        <v>874</v>
      </c>
      <c r="S26" s="27" t="s">
        <v>875</v>
      </c>
      <c r="T26" s="32" t="s">
        <v>168</v>
      </c>
      <c r="U26" s="33" t="s">
        <v>881</v>
      </c>
      <c r="V26" s="27" t="s">
        <v>877</v>
      </c>
      <c r="W26" s="27"/>
    </row>
    <row r="27" spans="1:23" ht="56" customHeight="1" x14ac:dyDescent="0.35">
      <c r="A27" s="26" t="s">
        <v>882</v>
      </c>
      <c r="B27" s="27" t="s">
        <v>72</v>
      </c>
      <c r="C27" s="27" t="s">
        <v>883</v>
      </c>
      <c r="D27" s="34" t="s">
        <v>866</v>
      </c>
      <c r="E27" s="27" t="s">
        <v>810</v>
      </c>
      <c r="F27" s="27" t="s">
        <v>884</v>
      </c>
      <c r="G27" s="27" t="s">
        <v>885</v>
      </c>
      <c r="H27" s="27" t="s">
        <v>886</v>
      </c>
      <c r="I27" s="29">
        <v>10</v>
      </c>
      <c r="J27" s="30">
        <v>0</v>
      </c>
      <c r="K27" s="27">
        <f>'Scenario Calculator'!B30/1000</f>
        <v>0</v>
      </c>
      <c r="L27" s="31">
        <f>K27*I27</f>
        <v>0</v>
      </c>
      <c r="M27" s="31">
        <f t="shared" si="0"/>
        <v>0</v>
      </c>
      <c r="N27" s="27" t="s">
        <v>887</v>
      </c>
      <c r="O27" s="27" t="s">
        <v>871</v>
      </c>
      <c r="P27" s="27" t="s">
        <v>888</v>
      </c>
      <c r="Q27" s="27" t="s">
        <v>889</v>
      </c>
      <c r="R27" s="27" t="s">
        <v>890</v>
      </c>
      <c r="S27" s="27" t="s">
        <v>875</v>
      </c>
      <c r="T27" s="32" t="s">
        <v>168</v>
      </c>
      <c r="U27" s="33" t="s">
        <v>891</v>
      </c>
      <c r="V27" s="27" t="s">
        <v>892</v>
      </c>
      <c r="W27" s="27"/>
    </row>
    <row r="28" spans="1:23" ht="56" customHeight="1" x14ac:dyDescent="0.35">
      <c r="A28" s="26" t="s">
        <v>893</v>
      </c>
      <c r="B28" s="27" t="s">
        <v>894</v>
      </c>
      <c r="C28" s="27" t="s">
        <v>895</v>
      </c>
      <c r="D28" s="28" t="s">
        <v>691</v>
      </c>
      <c r="E28" s="27" t="s">
        <v>677</v>
      </c>
      <c r="F28" s="27" t="s">
        <v>896</v>
      </c>
      <c r="G28" s="27" t="s">
        <v>897</v>
      </c>
      <c r="H28" s="27" t="s">
        <v>898</v>
      </c>
      <c r="I28" s="29">
        <v>0</v>
      </c>
      <c r="J28" s="30">
        <v>50</v>
      </c>
      <c r="K28" s="27" t="s">
        <v>842</v>
      </c>
      <c r="L28" s="31">
        <f>0</f>
        <v>0</v>
      </c>
      <c r="M28" s="31">
        <f t="shared" si="0"/>
        <v>0</v>
      </c>
      <c r="N28" s="27" t="s">
        <v>899</v>
      </c>
      <c r="O28" s="27" t="s">
        <v>683</v>
      </c>
      <c r="P28" s="27" t="s">
        <v>900</v>
      </c>
      <c r="Q28" s="27" t="s">
        <v>901</v>
      </c>
      <c r="R28" s="27" t="s">
        <v>902</v>
      </c>
      <c r="S28" s="27" t="s">
        <v>6</v>
      </c>
      <c r="T28" s="32" t="s">
        <v>168</v>
      </c>
      <c r="U28" s="33" t="s">
        <v>903</v>
      </c>
      <c r="V28" s="27" t="s">
        <v>904</v>
      </c>
      <c r="W28" s="27"/>
    </row>
    <row r="29" spans="1:23" ht="56" customHeight="1" x14ac:dyDescent="0.35">
      <c r="A29" s="26" t="s">
        <v>905</v>
      </c>
      <c r="B29" s="27" t="s">
        <v>894</v>
      </c>
      <c r="C29" s="27" t="s">
        <v>906</v>
      </c>
      <c r="D29" s="28" t="s">
        <v>907</v>
      </c>
      <c r="E29" s="27" t="s">
        <v>677</v>
      </c>
      <c r="F29" s="27" t="s">
        <v>908</v>
      </c>
      <c r="G29" s="27" t="s">
        <v>909</v>
      </c>
      <c r="H29" s="27" t="s">
        <v>910</v>
      </c>
      <c r="I29" s="29">
        <v>0</v>
      </c>
      <c r="J29" s="30">
        <v>100000</v>
      </c>
      <c r="K29" s="27" t="s">
        <v>842</v>
      </c>
      <c r="L29" s="31">
        <f>0</f>
        <v>0</v>
      </c>
      <c r="M29" s="31">
        <f t="shared" si="0"/>
        <v>0</v>
      </c>
      <c r="N29" s="27" t="s">
        <v>695</v>
      </c>
      <c r="O29" s="27" t="s">
        <v>683</v>
      </c>
      <c r="P29" s="27" t="s">
        <v>911</v>
      </c>
      <c r="Q29" s="27" t="s">
        <v>912</v>
      </c>
      <c r="R29" s="27" t="s">
        <v>913</v>
      </c>
      <c r="S29" s="27" t="s">
        <v>6</v>
      </c>
      <c r="T29" s="32" t="s">
        <v>168</v>
      </c>
      <c r="U29" s="33" t="s">
        <v>914</v>
      </c>
      <c r="V29" s="27" t="s">
        <v>915</v>
      </c>
      <c r="W29" s="27"/>
    </row>
    <row r="30" spans="1:23" ht="56" customHeight="1" x14ac:dyDescent="0.35">
      <c r="A30" s="26" t="s">
        <v>916</v>
      </c>
      <c r="B30" s="27" t="s">
        <v>894</v>
      </c>
      <c r="C30" s="27" t="s">
        <v>917</v>
      </c>
      <c r="D30" s="34" t="s">
        <v>809</v>
      </c>
      <c r="E30" s="27" t="s">
        <v>810</v>
      </c>
      <c r="F30" s="27" t="s">
        <v>918</v>
      </c>
      <c r="G30" s="27" t="s">
        <v>919</v>
      </c>
      <c r="H30" s="27" t="s">
        <v>920</v>
      </c>
      <c r="I30" s="29">
        <v>125</v>
      </c>
      <c r="J30" s="30">
        <v>0</v>
      </c>
      <c r="K30" s="27">
        <f>'Scenario Calculator'!B7*'Scenario Calculator'!B13</f>
        <v>0</v>
      </c>
      <c r="L30" s="31">
        <f>K30*I30</f>
        <v>0</v>
      </c>
      <c r="M30" s="31">
        <f t="shared" si="0"/>
        <v>0</v>
      </c>
      <c r="N30" s="27" t="s">
        <v>921</v>
      </c>
      <c r="O30" s="27" t="s">
        <v>922</v>
      </c>
      <c r="P30" s="27" t="s">
        <v>845</v>
      </c>
      <c r="Q30" s="27" t="s">
        <v>923</v>
      </c>
      <c r="R30" s="27" t="s">
        <v>924</v>
      </c>
      <c r="S30" s="27" t="s">
        <v>6</v>
      </c>
      <c r="T30" s="32" t="s">
        <v>168</v>
      </c>
      <c r="U30" s="33" t="s">
        <v>925</v>
      </c>
      <c r="V30" s="27" t="s">
        <v>926</v>
      </c>
      <c r="W30" s="27"/>
    </row>
    <row r="31" spans="1:23" ht="56" customHeight="1" x14ac:dyDescent="0.35">
      <c r="A31" s="26" t="s">
        <v>927</v>
      </c>
      <c r="B31" s="27" t="s">
        <v>928</v>
      </c>
      <c r="C31" s="27" t="s">
        <v>929</v>
      </c>
      <c r="D31" s="34" t="s">
        <v>809</v>
      </c>
      <c r="E31" s="27" t="s">
        <v>810</v>
      </c>
      <c r="F31" s="27" t="s">
        <v>930</v>
      </c>
      <c r="G31" s="27" t="s">
        <v>931</v>
      </c>
      <c r="H31" s="27" t="s">
        <v>932</v>
      </c>
      <c r="I31" s="29">
        <v>26</v>
      </c>
      <c r="J31" s="30">
        <v>0</v>
      </c>
      <c r="K31" s="27">
        <f>IF('Scenario Calculator'!B5="High",1,0)</f>
        <v>0</v>
      </c>
      <c r="L31" s="31">
        <f>K31*I31</f>
        <v>0</v>
      </c>
      <c r="M31" s="31">
        <f t="shared" si="0"/>
        <v>0</v>
      </c>
      <c r="N31" s="27" t="s">
        <v>933</v>
      </c>
      <c r="O31" s="27" t="s">
        <v>683</v>
      </c>
      <c r="P31" s="27" t="s">
        <v>934</v>
      </c>
      <c r="Q31" s="27" t="s">
        <v>935</v>
      </c>
      <c r="R31" s="27" t="s">
        <v>936</v>
      </c>
      <c r="S31" s="27" t="s">
        <v>6</v>
      </c>
      <c r="T31" s="32" t="s">
        <v>168</v>
      </c>
      <c r="U31" s="33" t="s">
        <v>937</v>
      </c>
      <c r="V31" s="27" t="s">
        <v>938</v>
      </c>
      <c r="W31" s="27"/>
    </row>
    <row r="32" spans="1:23" ht="56" customHeight="1" x14ac:dyDescent="0.35">
      <c r="A32" s="26" t="s">
        <v>939</v>
      </c>
      <c r="B32" s="27" t="s">
        <v>928</v>
      </c>
      <c r="C32" s="27" t="s">
        <v>940</v>
      </c>
      <c r="D32" s="34" t="s">
        <v>809</v>
      </c>
      <c r="E32" s="27" t="s">
        <v>810</v>
      </c>
      <c r="F32" s="27" t="s">
        <v>941</v>
      </c>
      <c r="G32" s="27" t="s">
        <v>942</v>
      </c>
      <c r="H32" s="27" t="s">
        <v>932</v>
      </c>
      <c r="I32" s="29">
        <v>29</v>
      </c>
      <c r="J32" s="30">
        <v>50000</v>
      </c>
      <c r="K32" s="27">
        <f>IF('Scenario Calculator'!B5="High",1,0)</f>
        <v>0</v>
      </c>
      <c r="L32" s="31">
        <f>IF(K32=0,0,IF('Scenario Calculator'!B10="Heavy",199,I32))</f>
        <v>0</v>
      </c>
      <c r="M32" s="31">
        <f t="shared" si="0"/>
        <v>0</v>
      </c>
      <c r="N32" s="27" t="s">
        <v>943</v>
      </c>
      <c r="O32" s="27" t="s">
        <v>683</v>
      </c>
      <c r="P32" s="27" t="s">
        <v>934</v>
      </c>
      <c r="Q32" s="27" t="s">
        <v>944</v>
      </c>
      <c r="R32" s="27" t="s">
        <v>945</v>
      </c>
      <c r="S32" s="27" t="s">
        <v>6</v>
      </c>
      <c r="T32" s="32" t="s">
        <v>168</v>
      </c>
      <c r="U32" s="33" t="s">
        <v>946</v>
      </c>
      <c r="V32" s="27" t="s">
        <v>947</v>
      </c>
      <c r="W32" s="27"/>
    </row>
    <row r="33" spans="1:23" ht="56" customHeight="1" x14ac:dyDescent="0.35">
      <c r="A33" s="26" t="s">
        <v>948</v>
      </c>
      <c r="B33" s="27" t="s">
        <v>133</v>
      </c>
      <c r="C33" s="27" t="s">
        <v>469</v>
      </c>
      <c r="D33" s="34" t="s">
        <v>949</v>
      </c>
      <c r="E33" s="27" t="s">
        <v>838</v>
      </c>
      <c r="F33" s="27" t="s">
        <v>950</v>
      </c>
      <c r="G33" s="27" t="s">
        <v>951</v>
      </c>
      <c r="H33" s="27" t="s">
        <v>932</v>
      </c>
      <c r="I33" s="29">
        <v>20</v>
      </c>
      <c r="J33" s="30">
        <v>3000</v>
      </c>
      <c r="K33" s="27" t="s">
        <v>842</v>
      </c>
      <c r="L33" s="31">
        <f>0</f>
        <v>0</v>
      </c>
      <c r="M33" s="31">
        <f t="shared" si="0"/>
        <v>0</v>
      </c>
      <c r="N33" s="27" t="s">
        <v>952</v>
      </c>
      <c r="O33" s="27" t="s">
        <v>683</v>
      </c>
      <c r="P33" s="27" t="s">
        <v>953</v>
      </c>
      <c r="Q33" s="27" t="s">
        <v>954</v>
      </c>
      <c r="R33" s="27" t="s">
        <v>955</v>
      </c>
      <c r="S33" s="27" t="s">
        <v>6</v>
      </c>
      <c r="T33" s="32" t="s">
        <v>168</v>
      </c>
      <c r="U33" s="33" t="s">
        <v>956</v>
      </c>
      <c r="V33" s="27" t="s">
        <v>957</v>
      </c>
      <c r="W33" s="27"/>
    </row>
    <row r="34" spans="1:23" ht="56" customHeight="1" x14ac:dyDescent="0.35">
      <c r="A34" s="26" t="s">
        <v>958</v>
      </c>
      <c r="B34" s="27" t="s">
        <v>133</v>
      </c>
      <c r="C34" s="27" t="s">
        <v>959</v>
      </c>
      <c r="D34" s="34" t="s">
        <v>809</v>
      </c>
      <c r="E34" s="27" t="s">
        <v>838</v>
      </c>
      <c r="F34" s="27" t="s">
        <v>960</v>
      </c>
      <c r="G34" s="27" t="s">
        <v>961</v>
      </c>
      <c r="H34" s="27" t="s">
        <v>962</v>
      </c>
      <c r="I34" s="29">
        <v>0.01</v>
      </c>
      <c r="J34" s="30">
        <v>0</v>
      </c>
      <c r="K34" s="27" t="s">
        <v>842</v>
      </c>
      <c r="L34" s="31">
        <f>0</f>
        <v>0</v>
      </c>
      <c r="M34" s="31">
        <f t="shared" si="0"/>
        <v>0</v>
      </c>
      <c r="N34" s="27" t="s">
        <v>963</v>
      </c>
      <c r="O34" s="27" t="s">
        <v>964</v>
      </c>
      <c r="P34" s="27" t="s">
        <v>965</v>
      </c>
      <c r="Q34" s="27" t="s">
        <v>966</v>
      </c>
      <c r="R34" s="27" t="s">
        <v>967</v>
      </c>
      <c r="S34" s="27" t="s">
        <v>6</v>
      </c>
      <c r="T34" s="32" t="s">
        <v>168</v>
      </c>
      <c r="U34" s="33" t="s">
        <v>968</v>
      </c>
      <c r="V34" s="27" t="s">
        <v>957</v>
      </c>
      <c r="W34" s="27"/>
    </row>
    <row r="35" spans="1:23" ht="56" customHeight="1" x14ac:dyDescent="0.35">
      <c r="A35" s="26" t="s">
        <v>969</v>
      </c>
      <c r="B35" s="27" t="s">
        <v>133</v>
      </c>
      <c r="C35" s="27" t="s">
        <v>970</v>
      </c>
      <c r="D35" s="28" t="s">
        <v>691</v>
      </c>
      <c r="E35" s="27" t="s">
        <v>677</v>
      </c>
      <c r="F35" s="27" t="s">
        <v>971</v>
      </c>
      <c r="G35" s="27" t="s">
        <v>972</v>
      </c>
      <c r="H35" s="27" t="s">
        <v>973</v>
      </c>
      <c r="I35" s="29">
        <v>0</v>
      </c>
      <c r="J35" s="30">
        <v>0</v>
      </c>
      <c r="K35" s="27" t="s">
        <v>842</v>
      </c>
      <c r="L35" s="31">
        <f>0</f>
        <v>0</v>
      </c>
      <c r="M35" s="31">
        <f t="shared" si="0"/>
        <v>0</v>
      </c>
      <c r="N35" s="27" t="s">
        <v>974</v>
      </c>
      <c r="O35" s="27" t="s">
        <v>683</v>
      </c>
      <c r="P35" s="27" t="s">
        <v>975</v>
      </c>
      <c r="Q35" s="27" t="s">
        <v>976</v>
      </c>
      <c r="R35" s="27" t="s">
        <v>977</v>
      </c>
      <c r="S35" s="27" t="s">
        <v>6</v>
      </c>
      <c r="T35" s="32" t="s">
        <v>168</v>
      </c>
      <c r="U35" s="33" t="s">
        <v>978</v>
      </c>
      <c r="V35" s="27" t="s">
        <v>915</v>
      </c>
      <c r="W35" s="27"/>
    </row>
    <row r="36" spans="1:23" ht="56" customHeight="1" x14ac:dyDescent="0.35">
      <c r="A36" s="26" t="s">
        <v>979</v>
      </c>
      <c r="B36" s="27" t="s">
        <v>133</v>
      </c>
      <c r="C36" s="27" t="s">
        <v>980</v>
      </c>
      <c r="D36" s="34" t="s">
        <v>949</v>
      </c>
      <c r="E36" s="27" t="s">
        <v>838</v>
      </c>
      <c r="F36" s="27" t="s">
        <v>981</v>
      </c>
      <c r="G36" s="27" t="s">
        <v>982</v>
      </c>
      <c r="H36" s="27" t="s">
        <v>983</v>
      </c>
      <c r="I36" s="29">
        <v>0</v>
      </c>
      <c r="J36" s="30">
        <v>100</v>
      </c>
      <c r="K36" s="27" t="s">
        <v>842</v>
      </c>
      <c r="L36" s="31">
        <f>0</f>
        <v>0</v>
      </c>
      <c r="M36" s="31">
        <f t="shared" si="0"/>
        <v>0</v>
      </c>
      <c r="N36" s="27" t="s">
        <v>952</v>
      </c>
      <c r="O36" s="27" t="s">
        <v>683</v>
      </c>
      <c r="P36" s="27" t="s">
        <v>984</v>
      </c>
      <c r="Q36" s="27" t="s">
        <v>985</v>
      </c>
      <c r="R36" s="27" t="s">
        <v>986</v>
      </c>
      <c r="S36" s="27" t="s">
        <v>6</v>
      </c>
      <c r="T36" s="32" t="s">
        <v>168</v>
      </c>
      <c r="U36" s="33" t="s">
        <v>987</v>
      </c>
      <c r="V36" s="27" t="s">
        <v>915</v>
      </c>
      <c r="W36" s="27"/>
    </row>
    <row r="37" spans="1:23" ht="56" customHeight="1" x14ac:dyDescent="0.35">
      <c r="A37" s="26" t="s">
        <v>988</v>
      </c>
      <c r="B37" s="27" t="s">
        <v>133</v>
      </c>
      <c r="C37" s="27" t="s">
        <v>989</v>
      </c>
      <c r="D37" s="36" t="s">
        <v>990</v>
      </c>
      <c r="E37" s="27" t="s">
        <v>838</v>
      </c>
      <c r="F37" s="27" t="s">
        <v>991</v>
      </c>
      <c r="G37" s="27" t="s">
        <v>992</v>
      </c>
      <c r="H37" s="27" t="s">
        <v>993</v>
      </c>
      <c r="I37" s="29">
        <v>8.0000000000000002E-3</v>
      </c>
      <c r="J37" s="30">
        <v>0</v>
      </c>
      <c r="K37" s="27" t="s">
        <v>842</v>
      </c>
      <c r="L37" s="31">
        <f>0</f>
        <v>0</v>
      </c>
      <c r="M37" s="31">
        <f t="shared" si="0"/>
        <v>0</v>
      </c>
      <c r="N37" s="27" t="s">
        <v>994</v>
      </c>
      <c r="O37" s="27" t="s">
        <v>995</v>
      </c>
      <c r="P37" s="27" t="s">
        <v>996</v>
      </c>
      <c r="Q37" s="27" t="s">
        <v>997</v>
      </c>
      <c r="R37" s="27" t="s">
        <v>998</v>
      </c>
      <c r="S37" s="27" t="s">
        <v>6</v>
      </c>
      <c r="T37" s="32" t="s">
        <v>168</v>
      </c>
      <c r="U37" s="33" t="s">
        <v>999</v>
      </c>
      <c r="V37" s="27" t="s">
        <v>1000</v>
      </c>
      <c r="W37" s="27"/>
    </row>
    <row r="38" spans="1:23" ht="56" customHeight="1" x14ac:dyDescent="0.35">
      <c r="A38" s="26" t="s">
        <v>1001</v>
      </c>
      <c r="B38" s="27" t="s">
        <v>1002</v>
      </c>
      <c r="C38" s="27" t="s">
        <v>1003</v>
      </c>
      <c r="D38" s="36" t="s">
        <v>1004</v>
      </c>
      <c r="E38" s="27" t="s">
        <v>838</v>
      </c>
      <c r="F38" s="27" t="s">
        <v>1005</v>
      </c>
      <c r="G38" s="27" t="s">
        <v>1006</v>
      </c>
      <c r="H38" s="27" t="s">
        <v>1007</v>
      </c>
      <c r="I38" s="29">
        <v>152</v>
      </c>
      <c r="J38" s="30">
        <v>0</v>
      </c>
      <c r="K38" s="27" t="s">
        <v>842</v>
      </c>
      <c r="L38" s="31">
        <f>0</f>
        <v>0</v>
      </c>
      <c r="M38" s="31">
        <f t="shared" si="0"/>
        <v>0</v>
      </c>
      <c r="N38" s="27" t="s">
        <v>1008</v>
      </c>
      <c r="O38" s="27" t="s">
        <v>1009</v>
      </c>
      <c r="P38" s="27" t="s">
        <v>1010</v>
      </c>
      <c r="Q38" s="27" t="s">
        <v>1011</v>
      </c>
      <c r="R38" s="27" t="s">
        <v>1012</v>
      </c>
      <c r="S38" s="27" t="s">
        <v>1013</v>
      </c>
      <c r="T38" s="32" t="s">
        <v>168</v>
      </c>
      <c r="U38" s="33" t="s">
        <v>1014</v>
      </c>
      <c r="V38" s="27" t="s">
        <v>1015</v>
      </c>
      <c r="W38" s="27"/>
    </row>
    <row r="39" spans="1:23" ht="56" customHeight="1" x14ac:dyDescent="0.35">
      <c r="A39" s="26" t="s">
        <v>1016</v>
      </c>
      <c r="B39" s="27" t="s">
        <v>1002</v>
      </c>
      <c r="C39" s="27" t="s">
        <v>1017</v>
      </c>
      <c r="D39" s="35" t="s">
        <v>1018</v>
      </c>
      <c r="E39" s="27" t="s">
        <v>824</v>
      </c>
      <c r="F39" s="27" t="s">
        <v>1019</v>
      </c>
      <c r="G39" s="27" t="s">
        <v>1020</v>
      </c>
      <c r="H39" s="27" t="s">
        <v>1021</v>
      </c>
      <c r="I39" s="29"/>
      <c r="J39" s="30">
        <v>0</v>
      </c>
      <c r="K39" s="27" t="s">
        <v>1022</v>
      </c>
      <c r="L39" s="31">
        <f>0</f>
        <v>0</v>
      </c>
      <c r="M39" s="31">
        <f t="shared" si="0"/>
        <v>0</v>
      </c>
      <c r="N39" s="27" t="s">
        <v>1023</v>
      </c>
      <c r="O39" s="27" t="s">
        <v>1009</v>
      </c>
      <c r="P39" s="27" t="s">
        <v>1024</v>
      </c>
      <c r="Q39" s="27" t="s">
        <v>1025</v>
      </c>
      <c r="R39" s="27" t="s">
        <v>1026</v>
      </c>
      <c r="S39" s="27" t="s">
        <v>1013</v>
      </c>
      <c r="T39" s="32" t="s">
        <v>168</v>
      </c>
      <c r="U39" s="33" t="s">
        <v>1027</v>
      </c>
      <c r="V39" s="27" t="s">
        <v>1028</v>
      </c>
      <c r="W39" s="27"/>
    </row>
    <row r="40" spans="1:23" ht="56" customHeight="1" x14ac:dyDescent="0.35">
      <c r="A40" s="26" t="s">
        <v>1029</v>
      </c>
      <c r="B40" s="27" t="s">
        <v>1002</v>
      </c>
      <c r="C40" s="27" t="s">
        <v>1030</v>
      </c>
      <c r="D40" s="35" t="s">
        <v>1018</v>
      </c>
      <c r="E40" s="27" t="s">
        <v>824</v>
      </c>
      <c r="F40" s="27" t="s">
        <v>1031</v>
      </c>
      <c r="G40" s="27" t="s">
        <v>1032</v>
      </c>
      <c r="H40" s="27" t="s">
        <v>1033</v>
      </c>
      <c r="I40" s="29"/>
      <c r="J40" s="30">
        <v>0</v>
      </c>
      <c r="K40" s="27" t="s">
        <v>1022</v>
      </c>
      <c r="L40" s="31">
        <f>0</f>
        <v>0</v>
      </c>
      <c r="M40" s="31">
        <f t="shared" si="0"/>
        <v>0</v>
      </c>
      <c r="N40" s="27" t="s">
        <v>1023</v>
      </c>
      <c r="O40" s="27" t="s">
        <v>1009</v>
      </c>
      <c r="P40" s="27" t="s">
        <v>1034</v>
      </c>
      <c r="Q40" s="27" t="s">
        <v>1035</v>
      </c>
      <c r="R40" s="27" t="s">
        <v>1036</v>
      </c>
      <c r="S40" s="27" t="s">
        <v>1013</v>
      </c>
      <c r="T40" s="32" t="s">
        <v>168</v>
      </c>
      <c r="U40" s="33" t="s">
        <v>1037</v>
      </c>
      <c r="V40" s="27" t="s">
        <v>1028</v>
      </c>
      <c r="W40" s="27"/>
    </row>
    <row r="41" spans="1:23" ht="56" customHeight="1" x14ac:dyDescent="0.35">
      <c r="A41" s="26" t="s">
        <v>1038</v>
      </c>
      <c r="B41" s="27" t="s">
        <v>1002</v>
      </c>
      <c r="C41" s="27" t="s">
        <v>1039</v>
      </c>
      <c r="D41" s="35" t="s">
        <v>1040</v>
      </c>
      <c r="E41" s="27" t="s">
        <v>824</v>
      </c>
      <c r="F41" s="27" t="s">
        <v>1041</v>
      </c>
      <c r="G41" s="27" t="s">
        <v>1042</v>
      </c>
      <c r="H41" s="27" t="s">
        <v>1043</v>
      </c>
      <c r="I41" s="29"/>
      <c r="J41" s="30">
        <v>0</v>
      </c>
      <c r="K41" s="27" t="s">
        <v>1044</v>
      </c>
      <c r="L41" s="31">
        <f>0</f>
        <v>0</v>
      </c>
      <c r="M41" s="31">
        <f t="shared" si="0"/>
        <v>0</v>
      </c>
      <c r="N41" s="27" t="s">
        <v>1045</v>
      </c>
      <c r="O41" s="27" t="s">
        <v>1009</v>
      </c>
      <c r="P41" s="27" t="s">
        <v>1046</v>
      </c>
      <c r="Q41" s="27" t="s">
        <v>1047</v>
      </c>
      <c r="R41" s="27" t="s">
        <v>1048</v>
      </c>
      <c r="S41" s="27" t="s">
        <v>1049</v>
      </c>
      <c r="T41" s="32" t="s">
        <v>168</v>
      </c>
      <c r="U41" s="33" t="s">
        <v>1050</v>
      </c>
      <c r="V41" s="27" t="s">
        <v>1028</v>
      </c>
      <c r="W41" s="27"/>
    </row>
    <row r="42" spans="1:23" ht="56" customHeight="1" x14ac:dyDescent="0.35">
      <c r="A42" s="26" t="s">
        <v>1051</v>
      </c>
      <c r="B42" s="27" t="s">
        <v>1002</v>
      </c>
      <c r="C42" s="27" t="s">
        <v>1052</v>
      </c>
      <c r="D42" s="36" t="s">
        <v>1053</v>
      </c>
      <c r="E42" s="27" t="s">
        <v>838</v>
      </c>
      <c r="F42" s="27" t="s">
        <v>1054</v>
      </c>
      <c r="G42" s="27" t="s">
        <v>1055</v>
      </c>
      <c r="H42" s="27" t="s">
        <v>1056</v>
      </c>
      <c r="I42" s="29">
        <v>1499</v>
      </c>
      <c r="J42" s="30">
        <v>120</v>
      </c>
      <c r="K42" s="27" t="s">
        <v>842</v>
      </c>
      <c r="L42" s="31">
        <f>0</f>
        <v>0</v>
      </c>
      <c r="M42" s="31">
        <f t="shared" si="0"/>
        <v>0</v>
      </c>
      <c r="N42" s="27" t="s">
        <v>1057</v>
      </c>
      <c r="O42" s="27" t="s">
        <v>1058</v>
      </c>
      <c r="P42" s="27" t="s">
        <v>1059</v>
      </c>
      <c r="Q42" s="27" t="s">
        <v>1060</v>
      </c>
      <c r="R42" s="27" t="s">
        <v>1061</v>
      </c>
      <c r="S42" s="27" t="s">
        <v>6</v>
      </c>
      <c r="T42" s="32" t="s">
        <v>168</v>
      </c>
      <c r="U42" s="33" t="s">
        <v>1062</v>
      </c>
      <c r="V42" s="27" t="s">
        <v>1063</v>
      </c>
      <c r="W42" s="27"/>
    </row>
    <row r="43" spans="1:23" ht="56" customHeight="1" x14ac:dyDescent="0.35">
      <c r="A43" s="26" t="s">
        <v>1064</v>
      </c>
      <c r="B43" s="27" t="s">
        <v>1002</v>
      </c>
      <c r="C43" s="27" t="s">
        <v>1065</v>
      </c>
      <c r="D43" s="34" t="s">
        <v>1066</v>
      </c>
      <c r="E43" s="27" t="s">
        <v>838</v>
      </c>
      <c r="F43" s="27" t="s">
        <v>1067</v>
      </c>
      <c r="G43" s="27" t="s">
        <v>1068</v>
      </c>
      <c r="H43" s="27" t="s">
        <v>1069</v>
      </c>
      <c r="I43" s="29">
        <v>1</v>
      </c>
      <c r="J43" s="30">
        <v>0</v>
      </c>
      <c r="K43" s="27" t="s">
        <v>842</v>
      </c>
      <c r="L43" s="31">
        <f>0</f>
        <v>0</v>
      </c>
      <c r="M43" s="31">
        <f t="shared" si="0"/>
        <v>0</v>
      </c>
      <c r="N43" s="27" t="s">
        <v>1070</v>
      </c>
      <c r="O43" s="27" t="s">
        <v>1009</v>
      </c>
      <c r="P43" s="27" t="s">
        <v>1071</v>
      </c>
      <c r="Q43" s="27" t="s">
        <v>1072</v>
      </c>
      <c r="R43" s="27" t="s">
        <v>1073</v>
      </c>
      <c r="S43" s="27" t="s">
        <v>6</v>
      </c>
      <c r="T43" s="32" t="s">
        <v>168</v>
      </c>
      <c r="U43" s="33" t="s">
        <v>1074</v>
      </c>
      <c r="V43" s="27" t="s">
        <v>1075</v>
      </c>
      <c r="W43" s="27"/>
    </row>
    <row r="44" spans="1:23" ht="56" customHeight="1" x14ac:dyDescent="0.35">
      <c r="A44" s="26" t="s">
        <v>1076</v>
      </c>
      <c r="B44" s="27" t="s">
        <v>1002</v>
      </c>
      <c r="C44" s="27" t="s">
        <v>1077</v>
      </c>
      <c r="D44" s="28" t="s">
        <v>1078</v>
      </c>
      <c r="E44" s="27" t="s">
        <v>838</v>
      </c>
      <c r="F44" s="27" t="s">
        <v>1079</v>
      </c>
      <c r="G44" s="27" t="s">
        <v>1080</v>
      </c>
      <c r="H44" s="27" t="s">
        <v>1081</v>
      </c>
      <c r="I44" s="29">
        <v>0</v>
      </c>
      <c r="J44" s="30">
        <v>0</v>
      </c>
      <c r="K44" s="27" t="s">
        <v>842</v>
      </c>
      <c r="L44" s="31">
        <f>0</f>
        <v>0</v>
      </c>
      <c r="M44" s="31">
        <f t="shared" si="0"/>
        <v>0</v>
      </c>
      <c r="N44" s="27" t="s">
        <v>1082</v>
      </c>
      <c r="O44" s="27" t="s">
        <v>1058</v>
      </c>
      <c r="P44" s="27" t="s">
        <v>1083</v>
      </c>
      <c r="Q44" s="27" t="s">
        <v>1084</v>
      </c>
      <c r="R44" s="27" t="s">
        <v>1085</v>
      </c>
      <c r="S44" s="27" t="s">
        <v>1013</v>
      </c>
      <c r="T44" s="32" t="s">
        <v>168</v>
      </c>
      <c r="U44" s="33" t="s">
        <v>1086</v>
      </c>
      <c r="V44" s="27" t="s">
        <v>1087</v>
      </c>
      <c r="W44" s="27"/>
    </row>
    <row r="45" spans="1:23" ht="56" customHeight="1" x14ac:dyDescent="0.35">
      <c r="A45" s="26" t="s">
        <v>1088</v>
      </c>
      <c r="B45" s="27" t="s">
        <v>1002</v>
      </c>
      <c r="C45" s="27" t="s">
        <v>1089</v>
      </c>
      <c r="D45" s="35" t="s">
        <v>1090</v>
      </c>
      <c r="E45" s="27" t="s">
        <v>824</v>
      </c>
      <c r="F45" s="27" t="s">
        <v>1091</v>
      </c>
      <c r="G45" s="27" t="s">
        <v>1092</v>
      </c>
      <c r="H45" s="27" t="s">
        <v>1093</v>
      </c>
      <c r="I45" s="29"/>
      <c r="J45" s="30">
        <v>0</v>
      </c>
      <c r="K45" s="27" t="s">
        <v>1094</v>
      </c>
      <c r="L45" s="31">
        <f>0</f>
        <v>0</v>
      </c>
      <c r="M45" s="31">
        <f t="shared" si="0"/>
        <v>0</v>
      </c>
      <c r="N45" s="27" t="s">
        <v>1095</v>
      </c>
      <c r="O45" s="27" t="s">
        <v>1009</v>
      </c>
      <c r="P45" s="27" t="s">
        <v>1096</v>
      </c>
      <c r="Q45" s="27" t="s">
        <v>1097</v>
      </c>
      <c r="R45" s="27" t="s">
        <v>1098</v>
      </c>
      <c r="S45" s="27" t="s">
        <v>4</v>
      </c>
      <c r="T45" s="32" t="s">
        <v>168</v>
      </c>
      <c r="U45" s="33" t="s">
        <v>1099</v>
      </c>
      <c r="V45" s="27" t="s">
        <v>1028</v>
      </c>
      <c r="W45" s="27"/>
    </row>
    <row r="47" spans="1:23" x14ac:dyDescent="0.35">
      <c r="A47" s="47" t="s">
        <v>1100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37">
        <f>SUM(L9:L45)</f>
        <v>42.45</v>
      </c>
      <c r="M47" s="37"/>
    </row>
    <row r="48" spans="1:23" x14ac:dyDescent="0.35">
      <c r="A48" s="45" t="s">
        <v>1101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38">
        <f>M49-L47</f>
        <v>16.130999999999993</v>
      </c>
      <c r="M48" s="38"/>
    </row>
    <row r="49" spans="1:13" x14ac:dyDescent="0.35">
      <c r="A49" s="47" t="s">
        <v>1102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37"/>
      <c r="M49" s="37">
        <f>SUM(M9:M45)</f>
        <v>58.580999999999996</v>
      </c>
    </row>
    <row r="50" spans="1:13" x14ac:dyDescent="0.35">
      <c r="A50" s="45" t="s">
        <v>1103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39">
        <f>COUNTIF(D9:D45,"*UNRESOLVED*")</f>
        <v>5</v>
      </c>
      <c r="M50" s="39"/>
    </row>
  </sheetData>
  <autoFilter ref="A8:W45" xr:uid="{00000000-0009-0000-0000-000004000000}"/>
  <mergeCells count="7">
    <mergeCell ref="A1:W1"/>
    <mergeCell ref="A50:K50"/>
    <mergeCell ref="A48:K48"/>
    <mergeCell ref="A6:W6"/>
    <mergeCell ref="A49:K49"/>
    <mergeCell ref="A47:K47"/>
    <mergeCell ref="A2:W2"/>
  </mergeCells>
  <conditionalFormatting sqref="D9:D45">
    <cfRule type="expression" dxfId="2" priority="1">
      <formula>ISNUMBER(SEARCH("UNRESOLVED",D9))</formula>
    </cfRule>
    <cfRule type="expression" dxfId="1" priority="2">
      <formula>OR(ISNUMBER(SEARCH("OPTIONAL",D9)),ISNUMBER(SEARCH("DEFERRED",D9)),ISNUMBER(SEARCH("FROZEN",D9)))</formula>
    </cfRule>
  </conditionalFormatting>
  <hyperlinks>
    <hyperlink ref="U9" r:id="rId1" xr:uid="{00000000-0004-0000-0400-000000000000}"/>
    <hyperlink ref="U10" r:id="rId2" xr:uid="{00000000-0004-0000-0400-000001000000}"/>
    <hyperlink ref="U11" r:id="rId3" xr:uid="{00000000-0004-0000-0400-000002000000}"/>
    <hyperlink ref="U12" r:id="rId4" xr:uid="{00000000-0004-0000-0400-000003000000}"/>
    <hyperlink ref="U13" r:id="rId5" xr:uid="{00000000-0004-0000-0400-000004000000}"/>
    <hyperlink ref="U14" r:id="rId6" xr:uid="{00000000-0004-0000-0400-000005000000}"/>
    <hyperlink ref="U15" r:id="rId7" xr:uid="{00000000-0004-0000-0400-000006000000}"/>
    <hyperlink ref="U16" r:id="rId8" xr:uid="{00000000-0004-0000-0400-000007000000}"/>
    <hyperlink ref="U17" r:id="rId9" xr:uid="{00000000-0004-0000-0400-000008000000}"/>
    <hyperlink ref="U18" r:id="rId10" xr:uid="{00000000-0004-0000-0400-000009000000}"/>
    <hyperlink ref="U19" r:id="rId11" xr:uid="{00000000-0004-0000-0400-00000A000000}"/>
    <hyperlink ref="U20" r:id="rId12" xr:uid="{00000000-0004-0000-0400-00000B000000}"/>
    <hyperlink ref="U21" r:id="rId13" xr:uid="{00000000-0004-0000-0400-00000C000000}"/>
    <hyperlink ref="U22" r:id="rId14" xr:uid="{00000000-0004-0000-0400-00000D000000}"/>
    <hyperlink ref="U23" r:id="rId15" xr:uid="{00000000-0004-0000-0400-00000E000000}"/>
    <hyperlink ref="U24" r:id="rId16" xr:uid="{00000000-0004-0000-0400-00000F000000}"/>
    <hyperlink ref="U25" r:id="rId17" xr:uid="{00000000-0004-0000-0400-000010000000}"/>
    <hyperlink ref="U26" r:id="rId18" xr:uid="{00000000-0004-0000-0400-000011000000}"/>
    <hyperlink ref="U27" r:id="rId19" xr:uid="{00000000-0004-0000-0400-000012000000}"/>
    <hyperlink ref="U28" r:id="rId20" xr:uid="{00000000-0004-0000-0400-000013000000}"/>
    <hyperlink ref="U29" r:id="rId21" xr:uid="{00000000-0004-0000-0400-000014000000}"/>
    <hyperlink ref="U30" r:id="rId22" xr:uid="{00000000-0004-0000-0400-000015000000}"/>
    <hyperlink ref="U31" r:id="rId23" xr:uid="{00000000-0004-0000-0400-000016000000}"/>
    <hyperlink ref="U32" r:id="rId24" xr:uid="{00000000-0004-0000-0400-000017000000}"/>
    <hyperlink ref="U33" r:id="rId25" xr:uid="{00000000-0004-0000-0400-000018000000}"/>
    <hyperlink ref="U34" r:id="rId26" xr:uid="{00000000-0004-0000-0400-000019000000}"/>
    <hyperlink ref="U35" r:id="rId27" xr:uid="{00000000-0004-0000-0400-00001A000000}"/>
    <hyperlink ref="U36" r:id="rId28" xr:uid="{00000000-0004-0000-0400-00001B000000}"/>
    <hyperlink ref="U37" r:id="rId29" xr:uid="{00000000-0004-0000-0400-00001C000000}"/>
    <hyperlink ref="U38" r:id="rId30" xr:uid="{00000000-0004-0000-0400-00001D000000}"/>
    <hyperlink ref="U39" r:id="rId31" xr:uid="{00000000-0004-0000-0400-00001E000000}"/>
    <hyperlink ref="U40" r:id="rId32" xr:uid="{00000000-0004-0000-0400-00001F000000}"/>
    <hyperlink ref="U41" r:id="rId33" xr:uid="{00000000-0004-0000-0400-000020000000}"/>
    <hyperlink ref="U42" r:id="rId34" xr:uid="{00000000-0004-0000-0400-000021000000}"/>
    <hyperlink ref="U43" r:id="rId35" xr:uid="{00000000-0004-0000-0400-000022000000}"/>
    <hyperlink ref="U44" r:id="rId36" xr:uid="{00000000-0004-0000-0400-000023000000}"/>
    <hyperlink ref="U45" r:id="rId37" xr:uid="{00000000-0004-0000-0400-000024000000}"/>
  </hyperlinks>
  <pageMargins left="0.75" right="0.75" top="1" bottom="1" header="0.5" footer="0.5"/>
  <pageSetup fitToHeight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11"/>
  <sheetViews>
    <sheetView showGridLines="0" workbookViewId="0">
      <pane ySplit="4" topLeftCell="A5" activePane="bottomLeft" state="frozen"/>
      <selection pane="bottomLeft"/>
    </sheetView>
  </sheetViews>
  <sheetFormatPr defaultRowHeight="14.5" x14ac:dyDescent="0.35"/>
  <cols>
    <col min="1" max="1" width="34" customWidth="1"/>
    <col min="2" max="24" width="15" customWidth="1"/>
    <col min="25" max="25" width="58" customWidth="1"/>
    <col min="26" max="40" width="13" hidden="1" customWidth="1"/>
  </cols>
  <sheetData>
    <row r="1" spans="1:40" ht="26" customHeight="1" x14ac:dyDescent="0.35">
      <c r="A1" s="41" t="s">
        <v>1104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</row>
    <row r="2" spans="1:40" ht="30" customHeight="1" x14ac:dyDescent="0.35">
      <c r="A2" s="43" t="s">
        <v>1105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4" spans="1:40" ht="28" customHeight="1" x14ac:dyDescent="0.35">
      <c r="A4" s="1" t="s">
        <v>1106</v>
      </c>
      <c r="B4" s="1" t="s">
        <v>521</v>
      </c>
      <c r="C4" s="1" t="s">
        <v>523</v>
      </c>
      <c r="D4" s="1" t="s">
        <v>1107</v>
      </c>
      <c r="E4" s="1" t="s">
        <v>481</v>
      </c>
      <c r="F4" s="1" t="s">
        <v>29</v>
      </c>
      <c r="G4" s="1" t="s">
        <v>72</v>
      </c>
      <c r="H4" s="1" t="s">
        <v>534</v>
      </c>
      <c r="I4" s="1" t="s">
        <v>538</v>
      </c>
      <c r="J4" s="1" t="s">
        <v>1108</v>
      </c>
      <c r="K4" s="1" t="s">
        <v>238</v>
      </c>
      <c r="L4" s="1" t="s">
        <v>1109</v>
      </c>
      <c r="M4" s="1" t="s">
        <v>1110</v>
      </c>
      <c r="N4" s="1" t="s">
        <v>1111</v>
      </c>
      <c r="O4" s="1" t="s">
        <v>1112</v>
      </c>
      <c r="P4" s="1" t="s">
        <v>1113</v>
      </c>
      <c r="Q4" s="1" t="s">
        <v>1114</v>
      </c>
      <c r="R4" s="1" t="s">
        <v>1115</v>
      </c>
      <c r="S4" s="1" t="s">
        <v>1116</v>
      </c>
      <c r="T4" s="1" t="s">
        <v>1117</v>
      </c>
      <c r="U4" s="1" t="s">
        <v>1118</v>
      </c>
      <c r="V4" s="1" t="s">
        <v>1119</v>
      </c>
      <c r="W4" s="1" t="s">
        <v>1120</v>
      </c>
      <c r="X4" s="1" t="s">
        <v>1121</v>
      </c>
      <c r="Y4" s="1" t="s">
        <v>1122</v>
      </c>
    </row>
    <row r="5" spans="1:40" ht="23" customHeight="1" x14ac:dyDescent="0.35">
      <c r="A5" s="2" t="s">
        <v>1123</v>
      </c>
      <c r="B5" s="2" t="s">
        <v>5</v>
      </c>
      <c r="C5" s="2">
        <v>4</v>
      </c>
      <c r="D5" s="2">
        <v>1</v>
      </c>
      <c r="E5" s="2">
        <v>5</v>
      </c>
      <c r="F5" s="2" t="s">
        <v>1124</v>
      </c>
      <c r="G5" s="2" t="s">
        <v>336</v>
      </c>
      <c r="H5" s="2" t="s">
        <v>535</v>
      </c>
      <c r="I5" s="2" t="s">
        <v>683</v>
      </c>
      <c r="J5" s="2">
        <v>0</v>
      </c>
      <c r="K5" s="2">
        <v>0</v>
      </c>
      <c r="L5" s="11">
        <v>249</v>
      </c>
      <c r="M5" s="11">
        <v>8</v>
      </c>
      <c r="N5" s="15">
        <f t="shared" ref="N5:N11" si="0">$AK5</f>
        <v>41.4</v>
      </c>
      <c r="O5" s="15">
        <f>0</f>
        <v>0</v>
      </c>
      <c r="P5" s="15">
        <f t="shared" ref="P5:P11" si="1">N5</f>
        <v>41.4</v>
      </c>
      <c r="Q5" s="15">
        <f t="shared" ref="Q5:Q11" si="2">$AM5</f>
        <v>281</v>
      </c>
      <c r="R5" s="14">
        <f t="shared" ref="R5:R11" si="3">IF(Q5=0,0,(Q5-N5)/Q5)</f>
        <v>0.85266903914590741</v>
      </c>
      <c r="S5" s="14">
        <f t="shared" ref="S5:S11" si="4">R5</f>
        <v>0.85266903914590741</v>
      </c>
      <c r="T5" s="15">
        <f>N5/(1-INDEX(Assumptions!$C$46:$E$46,1,MATCH($B5,Assumptions!$C$4:$E$4,0)))</f>
        <v>207.00000000000003</v>
      </c>
      <c r="U5" s="15">
        <f t="shared" ref="U5:U11" si="5">N5/C5</f>
        <v>10.35</v>
      </c>
      <c r="V5" s="15">
        <f t="shared" ref="V5:V11" si="6">N5/D5</f>
        <v>41.4</v>
      </c>
      <c r="W5" s="15">
        <f>0</f>
        <v>0</v>
      </c>
      <c r="X5" s="15">
        <f>0</f>
        <v>0</v>
      </c>
      <c r="Y5" s="2" t="s">
        <v>1125</v>
      </c>
      <c r="Z5" s="16">
        <f>$C5*$E5*INDEX(Assumptions!$C$10:$E$10,1,MATCH($B5,Assumptions!$C$4:$E$4,0))*IF($F5="Economical",INDEX(Assumptions!$C$13:$E$13,1,MATCH($B5,Assumptions!$C$4:$E$4,0)),IF($F5="Base incremental",INDEX(Assumptions!$C$14:$E$14,1,MATCH($B5,Assumptions!$C$4:$E$4,0)),INDEX(Assumptions!$C$15:$E$15,1,MATCH($B5,Assumptions!$C$4:$E$4,0))))*30*INDEX(Assumptions!$C$11:$E$11,1,MATCH($B5,Assumptions!$C$4:$E$4,0))</f>
        <v>3750</v>
      </c>
      <c r="AA5" s="16">
        <f>$Z5/INDEX(Assumptions!$C$12:$E$12,1,MATCH($B5,Assumptions!$C$4:$E$4,0))+$D5*INDEX(Assumptions!$C$6:$E$6,1,MATCH($B5,Assumptions!$C$4:$E$4,0))*300</f>
        <v>2437.5</v>
      </c>
      <c r="AB5" s="16">
        <f>'COGS Matrix'!$I$9+MAX(0,($AA5-'COGS Matrix'!$J$10)/1000000)*'COGS Matrix'!$I$10+MAX(0,($AA5*INDEX(Assumptions!$C$16:$E$16,1,MATCH($B5,Assumptions!$C$4:$E$4,0))-'COGS Matrix'!$J$11)/1000000)*'COGS Matrix'!$I$11+MAX(0,($C5*$E5*IF($F5="Economical",INDEX(Assumptions!$C$13:$E$13,1,MATCH($B5,Assumptions!$C$4:$E$4,0)),IF($F5="Base incremental",INDEX(Assumptions!$C$14:$E$14,1,MATCH($B5,Assumptions!$C$4:$E$4,0)),INDEX(Assumptions!$C$15:$E$15,1,MATCH($B5,Assumptions!$C$4:$E$4,0))))*30*3-'COGS Matrix'!$J$12)/1000000)*'COGS Matrix'!$I$12+MAX(0,($AA5*INDEX(Assumptions!$C$17:$E$17,1,MATCH($B5,Assumptions!$C$4:$E$4,0))*INDEX(Assumptions!$C$18:$E$18,1,MATCH($B5,Assumptions!$C$4:$E$4,0))-'COGS Matrix'!$J$13)/1000000)*'COGS Matrix'!$I$13</f>
        <v>5</v>
      </c>
      <c r="AC5" s="16">
        <f>MAX(0,CEILING($C5*INDEX(Assumptions!$C$7:$E$7,1,MATCH($B5,Assumptions!$C$4:$E$4,0)),1)-'COGS Matrix'!$J$14)*'COGS Matrix'!$I$14+MAX(0,CEILING($Z5/1000000,1)-'COGS Matrix'!$J$15/1000000)*'COGS Matrix'!$I$15+MAX(0,CEILING($AA5/1000000,1)-'COGS Matrix'!$J$16/1000000)*'COGS Matrix'!$I$16</f>
        <v>0</v>
      </c>
      <c r="AD5" s="16">
        <f>IF($H5="BYO",0,IF($H5="Shared",1,IF($H5="Dedicated",$D5,0))*'COGS Matrix'!$I$17+IF($H5="Shared",1,IF($H5="Dedicated",$D5,0))*MAX(0,MAX(IF($Z5&lt;20000000,10,IF($Z5&lt;100000000,15,IF($Z5&lt;500000000,60,111))),IF($K5=1,15,0))-10)+MAX(0,$C5*INDEX(Assumptions!$C$8:$E$8,1,MATCH($B5,Assumptions!$C$4:$E$4,0))-8*IF($H5="Shared",1,IF($H5="Dedicated",$D5,0)))*'COGS Matrix'!$I$19+MAX(0,$C5*INDEX(Assumptions!$C$9:$E$9,1,MATCH($B5,Assumptions!$C$4:$E$4,0))-250*IF($H5="Shared",1,IF($H5="Dedicated",$D5,0)))*'COGS Matrix'!$I$20+$K5*730*IF($H5="Shared",1,IF($H5="Dedicated",$D5,0))*'COGS Matrix'!$I$21)</f>
        <v>25</v>
      </c>
      <c r="AE5" s="16">
        <f>IF(ROUNDUP($D5*$E5*INDEX(Assumptions!$C$20:$E$20,1,MATCH($B5,Assumptions!$C$4:$E$4,0)),0)=0,0,'COGS Matrix'!$I$24+MAX(0,ROUNDUP($D5*$E5*INDEX(Assumptions!$C$20:$E$20,1,MATCH($B5,Assumptions!$C$4:$E$4,0)),0)-'COGS Matrix'!$J$24))</f>
        <v>0</v>
      </c>
      <c r="AF5" s="16">
        <f>IF($G5="None",0,$C5*IF($G5="None",0,IF($G5="Minimal",INDEX(Assumptions!$C$22:$E$22,1,MATCH($B5,Assumptions!$C$4:$E$4,0)),IF($G5="Standard",INDEX(Assumptions!$C$23:$E$23,1,MATCH($B5,Assumptions!$C$4:$E$4,0)),INDEX(Assumptions!$C$24:$E$24,1,MATCH($B5,Assumptions!$C$4:$E$4,0)))))*INDEX(Assumptions!$C$25:$E$25,1,MATCH($B5,Assumptions!$C$4:$E$4,0))/1000000*IF($G5="Minimal",INDEX(Assumptions!$C$27:$E$27,1,MATCH($B5,Assumptions!$C$4:$E$4,0)),IF($G5="Standard",INDEX(Assumptions!$C$29:$E$29,1,MATCH($B5,Assumptions!$C$4:$E$4,0)),INDEX(Assumptions!$C$31:$E$31,1,MATCH($B5,Assumptions!$C$4:$E$4,0))))+$C5*IF($G5="None",0,IF($G5="Minimal",INDEX(Assumptions!$C$22:$E$22,1,MATCH($B5,Assumptions!$C$4:$E$4,0)),IF($G5="Standard",INDEX(Assumptions!$C$23:$E$23,1,MATCH($B5,Assumptions!$C$4:$E$4,0)),INDEX(Assumptions!$C$24:$E$24,1,MATCH($B5,Assumptions!$C$4:$E$4,0)))))*INDEX(Assumptions!$C$26:$E$26,1,MATCH($B5,Assumptions!$C$4:$E$4,0))/1000000*IF($G5="Minimal",INDEX(Assumptions!$C$28:$E$28,1,MATCH($B5,Assumptions!$C$4:$E$4,0)),IF($G5="Standard",INDEX(Assumptions!$C$30:$E$30,1,MATCH($B5,Assumptions!$C$4:$E$4,0)),INDEX(Assumptions!$C$32:$E$32,1,MATCH($B5,Assumptions!$C$4:$E$4,0))))+$C5*INDEX(Assumptions!$C$33:$E$33,1,MATCH($B5,Assumptions!$C$4:$E$4,0))*INDEX(Assumptions!$C$34:$E$34,1,MATCH($B5,Assumptions!$C$4:$E$4,0)))</f>
        <v>0</v>
      </c>
      <c r="AG5" s="16">
        <f>INDEX(Assumptions!$C$19:$E$19,1,MATCH($B5,Assumptions!$C$4:$E$4,0))</f>
        <v>0</v>
      </c>
      <c r="AH5" s="16">
        <f>$D5*$J5*'COGS Matrix'!$I$30</f>
        <v>0</v>
      </c>
      <c r="AI5" s="16">
        <f>IF($B5="High",'COGS Matrix'!$I$31+IF($G5="Heavy",199,'COGS Matrix'!$I$32),0)</f>
        <v>0</v>
      </c>
      <c r="AJ5" s="16">
        <f t="shared" ref="AJ5:AJ11" si="7">SUM($AB5:$AI5)</f>
        <v>30</v>
      </c>
      <c r="AK5" s="16">
        <f>$AJ5*(1+INDEX(Assumptions!$C$44:$E$44,1,MATCH($B5,Assumptions!$C$4:$E$4,0)))*(1+INDEX(Assumptions!$C$45:$E$45,1,MATCH($B5,Assumptions!$C$4:$E$4,0)))</f>
        <v>41.4</v>
      </c>
      <c r="AL5" s="16">
        <f>0</f>
        <v>0</v>
      </c>
      <c r="AM5" s="16">
        <f t="shared" ref="AM5:AM11" si="8">($D5*$L5+$C5*$M5)</f>
        <v>281</v>
      </c>
      <c r="AN5" s="16">
        <f>0</f>
        <v>0</v>
      </c>
    </row>
    <row r="6" spans="1:40" ht="23" customHeight="1" x14ac:dyDescent="0.35">
      <c r="A6" s="2" t="s">
        <v>1126</v>
      </c>
      <c r="B6" s="2" t="s">
        <v>5</v>
      </c>
      <c r="C6" s="2">
        <v>120</v>
      </c>
      <c r="D6" s="2">
        <v>1</v>
      </c>
      <c r="E6" s="2">
        <v>7</v>
      </c>
      <c r="F6" s="2" t="s">
        <v>490</v>
      </c>
      <c r="G6" s="2" t="s">
        <v>336</v>
      </c>
      <c r="H6" s="2" t="s">
        <v>535</v>
      </c>
      <c r="I6" s="2" t="s">
        <v>539</v>
      </c>
      <c r="J6" s="2">
        <v>0</v>
      </c>
      <c r="K6" s="2">
        <v>0</v>
      </c>
      <c r="L6" s="11">
        <v>5000</v>
      </c>
      <c r="M6" s="11">
        <v>0</v>
      </c>
      <c r="N6" s="15">
        <f t="shared" si="0"/>
        <v>58.581000000000003</v>
      </c>
      <c r="O6" s="15">
        <f>0</f>
        <v>0</v>
      </c>
      <c r="P6" s="15">
        <f t="shared" si="1"/>
        <v>58.581000000000003</v>
      </c>
      <c r="Q6" s="15">
        <f t="shared" si="2"/>
        <v>5000</v>
      </c>
      <c r="R6" s="14">
        <f t="shared" si="3"/>
        <v>0.98828379999999993</v>
      </c>
      <c r="S6" s="14">
        <f t="shared" si="4"/>
        <v>0.98828379999999993</v>
      </c>
      <c r="T6" s="15">
        <f>N6/(1-INDEX(Assumptions!$C$46:$E$46,1,MATCH($B6,Assumptions!$C$4:$E$4,0)))</f>
        <v>292.90500000000009</v>
      </c>
      <c r="U6" s="15">
        <f t="shared" si="5"/>
        <v>0.48817500000000003</v>
      </c>
      <c r="V6" s="15">
        <f t="shared" si="6"/>
        <v>58.581000000000003</v>
      </c>
      <c r="W6" s="15">
        <f>0</f>
        <v>0</v>
      </c>
      <c r="X6" s="15">
        <f>0</f>
        <v>0</v>
      </c>
      <c r="Y6" s="2" t="s">
        <v>1127</v>
      </c>
      <c r="Z6" s="16">
        <f>$C6*$E6*INDEX(Assumptions!$C$10:$E$10,1,MATCH($B6,Assumptions!$C$4:$E$4,0))*IF($F6="Economical",INDEX(Assumptions!$C$13:$E$13,1,MATCH($B6,Assumptions!$C$4:$E$4,0)),IF($F6="Base incremental",INDEX(Assumptions!$C$14:$E$14,1,MATCH($B6,Assumptions!$C$4:$E$4,0)),INDEX(Assumptions!$C$15:$E$15,1,MATCH($B6,Assumptions!$C$4:$E$4,0))))*30*INDEX(Assumptions!$C$11:$E$11,1,MATCH($B6,Assumptions!$C$4:$E$4,0))</f>
        <v>2520000</v>
      </c>
      <c r="AA6" s="16">
        <f>$Z6/INDEX(Assumptions!$C$12:$E$12,1,MATCH($B6,Assumptions!$C$4:$E$4,0))+$D6*INDEX(Assumptions!$C$6:$E$6,1,MATCH($B6,Assumptions!$C$4:$E$4,0))*300</f>
        <v>27600</v>
      </c>
      <c r="AB6" s="16">
        <f>'COGS Matrix'!$I$9+MAX(0,($AA6-'COGS Matrix'!$J$10)/1000000)*'COGS Matrix'!$I$10+MAX(0,($AA6*INDEX(Assumptions!$C$16:$E$16,1,MATCH($B6,Assumptions!$C$4:$E$4,0))-'COGS Matrix'!$J$11)/1000000)*'COGS Matrix'!$I$11+MAX(0,($C6*$E6*IF($F6="Economical",INDEX(Assumptions!$C$13:$E$13,1,MATCH($B6,Assumptions!$C$4:$E$4,0)),IF($F6="Base incremental",INDEX(Assumptions!$C$14:$E$14,1,MATCH($B6,Assumptions!$C$4:$E$4,0)),INDEX(Assumptions!$C$15:$E$15,1,MATCH($B6,Assumptions!$C$4:$E$4,0))))*30*3-'COGS Matrix'!$J$12)/1000000)*'COGS Matrix'!$I$12+MAX(0,($AA6*INDEX(Assumptions!$C$17:$E$17,1,MATCH($B6,Assumptions!$C$4:$E$4,0))*INDEX(Assumptions!$C$18:$E$18,1,MATCH($B6,Assumptions!$C$4:$E$4,0))-'COGS Matrix'!$J$13)/1000000)*'COGS Matrix'!$I$13</f>
        <v>5</v>
      </c>
      <c r="AC6" s="16">
        <f>MAX(0,CEILING($C6*INDEX(Assumptions!$C$7:$E$7,1,MATCH($B6,Assumptions!$C$4:$E$4,0)),1)-'COGS Matrix'!$J$14)*'COGS Matrix'!$I$14+MAX(0,CEILING($Z6/1000000,1)-'COGS Matrix'!$J$15/1000000)*'COGS Matrix'!$I$15+MAX(0,CEILING($AA6/1000000,1)-'COGS Matrix'!$J$16/1000000)*'COGS Matrix'!$I$16</f>
        <v>12.45</v>
      </c>
      <c r="AD6" s="16">
        <f>IF($H6="BYO",0,IF($H6="Shared",1,IF($H6="Dedicated",$D6,0))*'COGS Matrix'!$I$17+IF($H6="Shared",1,IF($H6="Dedicated",$D6,0))*MAX(0,MAX(IF($Z6&lt;20000000,10,IF($Z6&lt;100000000,15,IF($Z6&lt;500000000,60,111))),IF($K6=1,15,0))-10)+MAX(0,$C6*INDEX(Assumptions!$C$8:$E$8,1,MATCH($B6,Assumptions!$C$4:$E$4,0))-8*IF($H6="Shared",1,IF($H6="Dedicated",$D6,0)))*'COGS Matrix'!$I$19+MAX(0,$C6*INDEX(Assumptions!$C$9:$E$9,1,MATCH($B6,Assumptions!$C$4:$E$4,0))-250*IF($H6="Shared",1,IF($H6="Dedicated",$D6,0)))*'COGS Matrix'!$I$20+$K6*730*IF($H6="Shared",1,IF($H6="Dedicated",$D6,0))*'COGS Matrix'!$I$21)</f>
        <v>25</v>
      </c>
      <c r="AE6" s="16">
        <f>IF(ROUNDUP($D6*$E6*INDEX(Assumptions!$C$20:$E$20,1,MATCH($B6,Assumptions!$C$4:$E$4,0)),0)=0,0,'COGS Matrix'!$I$24+MAX(0,ROUNDUP($D6*$E6*INDEX(Assumptions!$C$20:$E$20,1,MATCH($B6,Assumptions!$C$4:$E$4,0)),0)-'COGS Matrix'!$J$24))</f>
        <v>0</v>
      </c>
      <c r="AF6" s="16">
        <f>IF($G6="None",0,$C6*IF($G6="None",0,IF($G6="Minimal",INDEX(Assumptions!$C$22:$E$22,1,MATCH($B6,Assumptions!$C$4:$E$4,0)),IF($G6="Standard",INDEX(Assumptions!$C$23:$E$23,1,MATCH($B6,Assumptions!$C$4:$E$4,0)),INDEX(Assumptions!$C$24:$E$24,1,MATCH($B6,Assumptions!$C$4:$E$4,0)))))*INDEX(Assumptions!$C$25:$E$25,1,MATCH($B6,Assumptions!$C$4:$E$4,0))/1000000*IF($G6="Minimal",INDEX(Assumptions!$C$27:$E$27,1,MATCH($B6,Assumptions!$C$4:$E$4,0)),IF($G6="Standard",INDEX(Assumptions!$C$29:$E$29,1,MATCH($B6,Assumptions!$C$4:$E$4,0)),INDEX(Assumptions!$C$31:$E$31,1,MATCH($B6,Assumptions!$C$4:$E$4,0))))+$C6*IF($G6="None",0,IF($G6="Minimal",INDEX(Assumptions!$C$22:$E$22,1,MATCH($B6,Assumptions!$C$4:$E$4,0)),IF($G6="Standard",INDEX(Assumptions!$C$23:$E$23,1,MATCH($B6,Assumptions!$C$4:$E$4,0)),INDEX(Assumptions!$C$24:$E$24,1,MATCH($B6,Assumptions!$C$4:$E$4,0)))))*INDEX(Assumptions!$C$26:$E$26,1,MATCH($B6,Assumptions!$C$4:$E$4,0))/1000000*IF($G6="Minimal",INDEX(Assumptions!$C$28:$E$28,1,MATCH($B6,Assumptions!$C$4:$E$4,0)),IF($G6="Standard",INDEX(Assumptions!$C$30:$E$30,1,MATCH($B6,Assumptions!$C$4:$E$4,0)),INDEX(Assumptions!$C$32:$E$32,1,MATCH($B6,Assumptions!$C$4:$E$4,0))))+$C6*INDEX(Assumptions!$C$33:$E$33,1,MATCH($B6,Assumptions!$C$4:$E$4,0))*INDEX(Assumptions!$C$34:$E$34,1,MATCH($B6,Assumptions!$C$4:$E$4,0)))</f>
        <v>0</v>
      </c>
      <c r="AG6" s="16">
        <f>INDEX(Assumptions!$C$19:$E$19,1,MATCH($B6,Assumptions!$C$4:$E$4,0))</f>
        <v>0</v>
      </c>
      <c r="AH6" s="16">
        <f>$D6*$J6*'COGS Matrix'!$I$30</f>
        <v>0</v>
      </c>
      <c r="AI6" s="16">
        <f>IF($B6="High",'COGS Matrix'!$I$31+IF($G6="Heavy",199,'COGS Matrix'!$I$32),0)</f>
        <v>0</v>
      </c>
      <c r="AJ6" s="16">
        <f t="shared" si="7"/>
        <v>42.45</v>
      </c>
      <c r="AK6" s="16">
        <f>$AJ6*(1+INDEX(Assumptions!$C$44:$E$44,1,MATCH($B6,Assumptions!$C$4:$E$4,0)))*(1+INDEX(Assumptions!$C$45:$E$45,1,MATCH($B6,Assumptions!$C$4:$E$4,0)))</f>
        <v>58.581000000000003</v>
      </c>
      <c r="AL6" s="16">
        <f>0</f>
        <v>0</v>
      </c>
      <c r="AM6" s="16">
        <f t="shared" si="8"/>
        <v>5000</v>
      </c>
      <c r="AN6" s="16">
        <f>0</f>
        <v>0</v>
      </c>
    </row>
    <row r="7" spans="1:40" ht="23" customHeight="1" x14ac:dyDescent="0.35">
      <c r="A7" s="2" t="s">
        <v>1128</v>
      </c>
      <c r="B7" s="2" t="s">
        <v>5</v>
      </c>
      <c r="C7" s="2">
        <v>25</v>
      </c>
      <c r="D7" s="2">
        <v>1</v>
      </c>
      <c r="E7" s="2">
        <v>5</v>
      </c>
      <c r="F7" s="2" t="s">
        <v>1124</v>
      </c>
      <c r="G7" s="2" t="s">
        <v>1129</v>
      </c>
      <c r="H7" s="2" t="s">
        <v>535</v>
      </c>
      <c r="I7" s="2" t="s">
        <v>683</v>
      </c>
      <c r="J7" s="2">
        <v>0</v>
      </c>
      <c r="K7" s="2">
        <v>0</v>
      </c>
      <c r="L7" s="11">
        <v>249</v>
      </c>
      <c r="M7" s="11">
        <v>8</v>
      </c>
      <c r="N7" s="15">
        <f t="shared" si="0"/>
        <v>45.871199999999995</v>
      </c>
      <c r="O7" s="15">
        <f>0</f>
        <v>0</v>
      </c>
      <c r="P7" s="15">
        <f t="shared" si="1"/>
        <v>45.871199999999995</v>
      </c>
      <c r="Q7" s="15">
        <f t="shared" si="2"/>
        <v>449</v>
      </c>
      <c r="R7" s="14">
        <f t="shared" si="3"/>
        <v>0.89783697104677063</v>
      </c>
      <c r="S7" s="14">
        <f t="shared" si="4"/>
        <v>0.89783697104677063</v>
      </c>
      <c r="T7" s="15">
        <f>N7/(1-INDEX(Assumptions!$C$46:$E$46,1,MATCH($B7,Assumptions!$C$4:$E$4,0)))</f>
        <v>229.35600000000002</v>
      </c>
      <c r="U7" s="15">
        <f t="shared" si="5"/>
        <v>1.8348479999999998</v>
      </c>
      <c r="V7" s="15">
        <f t="shared" si="6"/>
        <v>45.871199999999995</v>
      </c>
      <c r="W7" s="15">
        <f>0</f>
        <v>0</v>
      </c>
      <c r="X7" s="15">
        <f>0</f>
        <v>0</v>
      </c>
      <c r="Y7" s="2" t="s">
        <v>1130</v>
      </c>
      <c r="Z7" s="16">
        <f>$C7*$E7*INDEX(Assumptions!$C$10:$E$10,1,MATCH($B7,Assumptions!$C$4:$E$4,0))*IF($F7="Economical",INDEX(Assumptions!$C$13:$E$13,1,MATCH($B7,Assumptions!$C$4:$E$4,0)),IF($F7="Base incremental",INDEX(Assumptions!$C$14:$E$14,1,MATCH($B7,Assumptions!$C$4:$E$4,0)),INDEX(Assumptions!$C$15:$E$15,1,MATCH($B7,Assumptions!$C$4:$E$4,0))))*30*INDEX(Assumptions!$C$11:$E$11,1,MATCH($B7,Assumptions!$C$4:$E$4,0))</f>
        <v>23437.5</v>
      </c>
      <c r="AA7" s="16">
        <f>$Z7/INDEX(Assumptions!$C$12:$E$12,1,MATCH($B7,Assumptions!$C$4:$E$4,0))+$D7*INDEX(Assumptions!$C$6:$E$6,1,MATCH($B7,Assumptions!$C$4:$E$4,0))*300</f>
        <v>2634.375</v>
      </c>
      <c r="AB7" s="16">
        <f>'COGS Matrix'!$I$9+MAX(0,($AA7-'COGS Matrix'!$J$10)/1000000)*'COGS Matrix'!$I$10+MAX(0,($AA7*INDEX(Assumptions!$C$16:$E$16,1,MATCH($B7,Assumptions!$C$4:$E$4,0))-'COGS Matrix'!$J$11)/1000000)*'COGS Matrix'!$I$11+MAX(0,($C7*$E7*IF($F7="Economical",INDEX(Assumptions!$C$13:$E$13,1,MATCH($B7,Assumptions!$C$4:$E$4,0)),IF($F7="Base incremental",INDEX(Assumptions!$C$14:$E$14,1,MATCH($B7,Assumptions!$C$4:$E$4,0)),INDEX(Assumptions!$C$15:$E$15,1,MATCH($B7,Assumptions!$C$4:$E$4,0))))*30*3-'COGS Matrix'!$J$12)/1000000)*'COGS Matrix'!$I$12+MAX(0,($AA7*INDEX(Assumptions!$C$17:$E$17,1,MATCH($B7,Assumptions!$C$4:$E$4,0))*INDEX(Assumptions!$C$18:$E$18,1,MATCH($B7,Assumptions!$C$4:$E$4,0))-'COGS Matrix'!$J$13)/1000000)*'COGS Matrix'!$I$13</f>
        <v>5</v>
      </c>
      <c r="AC7" s="16">
        <f>MAX(0,CEILING($C7*INDEX(Assumptions!$C$7:$E$7,1,MATCH($B7,Assumptions!$C$4:$E$4,0)),1)-'COGS Matrix'!$J$14)*'COGS Matrix'!$I$14+MAX(0,CEILING($Z7/1000000,1)-'COGS Matrix'!$J$15/1000000)*'COGS Matrix'!$I$15+MAX(0,CEILING($AA7/1000000,1)-'COGS Matrix'!$J$16/1000000)*'COGS Matrix'!$I$16</f>
        <v>0.6</v>
      </c>
      <c r="AD7" s="16">
        <f>IF($H7="BYO",0,IF($H7="Shared",1,IF($H7="Dedicated",$D7,0))*'COGS Matrix'!$I$17+IF($H7="Shared",1,IF($H7="Dedicated",$D7,0))*MAX(0,MAX(IF($Z7&lt;20000000,10,IF($Z7&lt;100000000,15,IF($Z7&lt;500000000,60,111))),IF($K7=1,15,0))-10)+MAX(0,$C7*INDEX(Assumptions!$C$8:$E$8,1,MATCH($B7,Assumptions!$C$4:$E$4,0))-8*IF($H7="Shared",1,IF($H7="Dedicated",$D7,0)))*'COGS Matrix'!$I$19+MAX(0,$C7*INDEX(Assumptions!$C$9:$E$9,1,MATCH($B7,Assumptions!$C$4:$E$4,0))-250*IF($H7="Shared",1,IF($H7="Dedicated",$D7,0)))*'COGS Matrix'!$I$20+$K7*730*IF($H7="Shared",1,IF($H7="Dedicated",$D7,0))*'COGS Matrix'!$I$21)</f>
        <v>25</v>
      </c>
      <c r="AE7" s="16">
        <f>IF(ROUNDUP($D7*$E7*INDEX(Assumptions!$C$20:$E$20,1,MATCH($B7,Assumptions!$C$4:$E$4,0)),0)=0,0,'COGS Matrix'!$I$24+MAX(0,ROUNDUP($D7*$E7*INDEX(Assumptions!$C$20:$E$20,1,MATCH($B7,Assumptions!$C$4:$E$4,0)),0)-'COGS Matrix'!$J$24))</f>
        <v>0</v>
      </c>
      <c r="AF7" s="16">
        <f>IF($G7="None",0,$C7*IF($G7="None",0,IF($G7="Minimal",INDEX(Assumptions!$C$22:$E$22,1,MATCH($B7,Assumptions!$C$4:$E$4,0)),IF($G7="Standard",INDEX(Assumptions!$C$23:$E$23,1,MATCH($B7,Assumptions!$C$4:$E$4,0)),INDEX(Assumptions!$C$24:$E$24,1,MATCH($B7,Assumptions!$C$4:$E$4,0)))))*INDEX(Assumptions!$C$25:$E$25,1,MATCH($B7,Assumptions!$C$4:$E$4,0))/1000000*IF($G7="Minimal",INDEX(Assumptions!$C$27:$E$27,1,MATCH($B7,Assumptions!$C$4:$E$4,0)),IF($G7="Standard",INDEX(Assumptions!$C$29:$E$29,1,MATCH($B7,Assumptions!$C$4:$E$4,0)),INDEX(Assumptions!$C$31:$E$31,1,MATCH($B7,Assumptions!$C$4:$E$4,0))))+$C7*IF($G7="None",0,IF($G7="Minimal",INDEX(Assumptions!$C$22:$E$22,1,MATCH($B7,Assumptions!$C$4:$E$4,0)),IF($G7="Standard",INDEX(Assumptions!$C$23:$E$23,1,MATCH($B7,Assumptions!$C$4:$E$4,0)),INDEX(Assumptions!$C$24:$E$24,1,MATCH($B7,Assumptions!$C$4:$E$4,0)))))*INDEX(Assumptions!$C$26:$E$26,1,MATCH($B7,Assumptions!$C$4:$E$4,0))/1000000*IF($G7="Minimal",INDEX(Assumptions!$C$28:$E$28,1,MATCH($B7,Assumptions!$C$4:$E$4,0)),IF($G7="Standard",INDEX(Assumptions!$C$30:$E$30,1,MATCH($B7,Assumptions!$C$4:$E$4,0)),INDEX(Assumptions!$C$32:$E$32,1,MATCH($B7,Assumptions!$C$4:$E$4,0))))+$C7*INDEX(Assumptions!$C$33:$E$33,1,MATCH($B7,Assumptions!$C$4:$E$4,0))*INDEX(Assumptions!$C$34:$E$34,1,MATCH($B7,Assumptions!$C$4:$E$4,0)))</f>
        <v>2.64</v>
      </c>
      <c r="AG7" s="16">
        <f>INDEX(Assumptions!$C$19:$E$19,1,MATCH($B7,Assumptions!$C$4:$E$4,0))</f>
        <v>0</v>
      </c>
      <c r="AH7" s="16">
        <f>$D7*$J7*'COGS Matrix'!$I$30</f>
        <v>0</v>
      </c>
      <c r="AI7" s="16">
        <f>IF($B7="High",'COGS Matrix'!$I$31+IF($G7="Heavy",199,'COGS Matrix'!$I$32),0)</f>
        <v>0</v>
      </c>
      <c r="AJ7" s="16">
        <f t="shared" si="7"/>
        <v>33.24</v>
      </c>
      <c r="AK7" s="16">
        <f>$AJ7*(1+INDEX(Assumptions!$C$44:$E$44,1,MATCH($B7,Assumptions!$C$4:$E$4,0)))*(1+INDEX(Assumptions!$C$45:$E$45,1,MATCH($B7,Assumptions!$C$4:$E$4,0)))</f>
        <v>45.871199999999995</v>
      </c>
      <c r="AL7" s="16">
        <f>0</f>
        <v>0</v>
      </c>
      <c r="AM7" s="16">
        <f t="shared" si="8"/>
        <v>449</v>
      </c>
      <c r="AN7" s="16">
        <f>0</f>
        <v>0</v>
      </c>
    </row>
    <row r="8" spans="1:40" ht="23" customHeight="1" x14ac:dyDescent="0.35">
      <c r="A8" s="2" t="s">
        <v>1131</v>
      </c>
      <c r="B8" s="2" t="s">
        <v>5</v>
      </c>
      <c r="C8" s="2">
        <v>100</v>
      </c>
      <c r="D8" s="2">
        <v>1</v>
      </c>
      <c r="E8" s="2">
        <v>6</v>
      </c>
      <c r="F8" s="2" t="s">
        <v>490</v>
      </c>
      <c r="G8" s="2" t="s">
        <v>1132</v>
      </c>
      <c r="H8" s="2" t="s">
        <v>535</v>
      </c>
      <c r="I8" s="2" t="s">
        <v>683</v>
      </c>
      <c r="J8" s="2">
        <v>0</v>
      </c>
      <c r="K8" s="2">
        <v>0</v>
      </c>
      <c r="L8" s="11">
        <v>249</v>
      </c>
      <c r="M8" s="11">
        <v>8</v>
      </c>
      <c r="N8" s="15">
        <f t="shared" si="0"/>
        <v>82.316999999999993</v>
      </c>
      <c r="O8" s="15">
        <f>0</f>
        <v>0</v>
      </c>
      <c r="P8" s="15">
        <f t="shared" si="1"/>
        <v>82.316999999999993</v>
      </c>
      <c r="Q8" s="15">
        <f t="shared" si="2"/>
        <v>1049</v>
      </c>
      <c r="R8" s="14">
        <f t="shared" si="3"/>
        <v>0.92152812202097234</v>
      </c>
      <c r="S8" s="14">
        <f t="shared" si="4"/>
        <v>0.92152812202097234</v>
      </c>
      <c r="T8" s="15">
        <f>N8/(1-INDEX(Assumptions!$C$46:$E$46,1,MATCH($B8,Assumptions!$C$4:$E$4,0)))</f>
        <v>411.58500000000004</v>
      </c>
      <c r="U8" s="15">
        <f t="shared" si="5"/>
        <v>0.82316999999999996</v>
      </c>
      <c r="V8" s="15">
        <f t="shared" si="6"/>
        <v>82.316999999999993</v>
      </c>
      <c r="W8" s="15">
        <f>0</f>
        <v>0</v>
      </c>
      <c r="X8" s="15">
        <f>0</f>
        <v>0</v>
      </c>
      <c r="Y8" s="2" t="s">
        <v>1133</v>
      </c>
      <c r="Z8" s="16">
        <f>$C8*$E8*INDEX(Assumptions!$C$10:$E$10,1,MATCH($B8,Assumptions!$C$4:$E$4,0))*IF($F8="Economical",INDEX(Assumptions!$C$13:$E$13,1,MATCH($B8,Assumptions!$C$4:$E$4,0)),IF($F8="Base incremental",INDEX(Assumptions!$C$14:$E$14,1,MATCH($B8,Assumptions!$C$4:$E$4,0)),INDEX(Assumptions!$C$15:$E$15,1,MATCH($B8,Assumptions!$C$4:$E$4,0))))*30*INDEX(Assumptions!$C$11:$E$11,1,MATCH($B8,Assumptions!$C$4:$E$4,0))</f>
        <v>1800000</v>
      </c>
      <c r="AA8" s="16">
        <f>$Z8/INDEX(Assumptions!$C$12:$E$12,1,MATCH($B8,Assumptions!$C$4:$E$4,0))+$D8*INDEX(Assumptions!$C$6:$E$6,1,MATCH($B8,Assumptions!$C$4:$E$4,0))*300</f>
        <v>20400</v>
      </c>
      <c r="AB8" s="16">
        <f>'COGS Matrix'!$I$9+MAX(0,($AA8-'COGS Matrix'!$J$10)/1000000)*'COGS Matrix'!$I$10+MAX(0,($AA8*INDEX(Assumptions!$C$16:$E$16,1,MATCH($B8,Assumptions!$C$4:$E$4,0))-'COGS Matrix'!$J$11)/1000000)*'COGS Matrix'!$I$11+MAX(0,($C8*$E8*IF($F8="Economical",INDEX(Assumptions!$C$13:$E$13,1,MATCH($B8,Assumptions!$C$4:$E$4,0)),IF($F8="Base incremental",INDEX(Assumptions!$C$14:$E$14,1,MATCH($B8,Assumptions!$C$4:$E$4,0)),INDEX(Assumptions!$C$15:$E$15,1,MATCH($B8,Assumptions!$C$4:$E$4,0))))*30*3-'COGS Matrix'!$J$12)/1000000)*'COGS Matrix'!$I$12+MAX(0,($AA8*INDEX(Assumptions!$C$17:$E$17,1,MATCH($B8,Assumptions!$C$4:$E$4,0))*INDEX(Assumptions!$C$18:$E$18,1,MATCH($B8,Assumptions!$C$4:$E$4,0))-'COGS Matrix'!$J$13)/1000000)*'COGS Matrix'!$I$13</f>
        <v>5</v>
      </c>
      <c r="AC8" s="16">
        <f>MAX(0,CEILING($C8*INDEX(Assumptions!$C$7:$E$7,1,MATCH($B8,Assumptions!$C$4:$E$4,0)),1)-'COGS Matrix'!$J$14)*'COGS Matrix'!$I$14+MAX(0,CEILING($Z8/1000000,1)-'COGS Matrix'!$J$15/1000000)*'COGS Matrix'!$I$15+MAX(0,CEILING($AA8/1000000,1)-'COGS Matrix'!$J$16/1000000)*'COGS Matrix'!$I$16</f>
        <v>7.35</v>
      </c>
      <c r="AD8" s="16">
        <f>IF($H8="BYO",0,IF($H8="Shared",1,IF($H8="Dedicated",$D8,0))*'COGS Matrix'!$I$17+IF($H8="Shared",1,IF($H8="Dedicated",$D8,0))*MAX(0,MAX(IF($Z8&lt;20000000,10,IF($Z8&lt;100000000,15,IF($Z8&lt;500000000,60,111))),IF($K8=1,15,0))-10)+MAX(0,$C8*INDEX(Assumptions!$C$8:$E$8,1,MATCH($B8,Assumptions!$C$4:$E$4,0))-8*IF($H8="Shared",1,IF($H8="Dedicated",$D8,0)))*'COGS Matrix'!$I$19+MAX(0,$C8*INDEX(Assumptions!$C$9:$E$9,1,MATCH($B8,Assumptions!$C$4:$E$4,0))-250*IF($H8="Shared",1,IF($H8="Dedicated",$D8,0)))*'COGS Matrix'!$I$20+$K8*730*IF($H8="Shared",1,IF($H8="Dedicated",$D8,0))*'COGS Matrix'!$I$21)</f>
        <v>25</v>
      </c>
      <c r="AE8" s="16">
        <f>IF(ROUNDUP($D8*$E8*INDEX(Assumptions!$C$20:$E$20,1,MATCH($B8,Assumptions!$C$4:$E$4,0)),0)=0,0,'COGS Matrix'!$I$24+MAX(0,ROUNDUP($D8*$E8*INDEX(Assumptions!$C$20:$E$20,1,MATCH($B8,Assumptions!$C$4:$E$4,0)),0)-'COGS Matrix'!$J$24))</f>
        <v>0</v>
      </c>
      <c r="AF8" s="16">
        <f>IF($G8="None",0,$C8*IF($G8="None",0,IF($G8="Minimal",INDEX(Assumptions!$C$22:$E$22,1,MATCH($B8,Assumptions!$C$4:$E$4,0)),IF($G8="Standard",INDEX(Assumptions!$C$23:$E$23,1,MATCH($B8,Assumptions!$C$4:$E$4,0)),INDEX(Assumptions!$C$24:$E$24,1,MATCH($B8,Assumptions!$C$4:$E$4,0)))))*INDEX(Assumptions!$C$25:$E$25,1,MATCH($B8,Assumptions!$C$4:$E$4,0))/1000000*IF($G8="Minimal",INDEX(Assumptions!$C$27:$E$27,1,MATCH($B8,Assumptions!$C$4:$E$4,0)),IF($G8="Standard",INDEX(Assumptions!$C$29:$E$29,1,MATCH($B8,Assumptions!$C$4:$E$4,0)),INDEX(Assumptions!$C$31:$E$31,1,MATCH($B8,Assumptions!$C$4:$E$4,0))))+$C8*IF($G8="None",0,IF($G8="Minimal",INDEX(Assumptions!$C$22:$E$22,1,MATCH($B8,Assumptions!$C$4:$E$4,0)),IF($G8="Standard",INDEX(Assumptions!$C$23:$E$23,1,MATCH($B8,Assumptions!$C$4:$E$4,0)),INDEX(Assumptions!$C$24:$E$24,1,MATCH($B8,Assumptions!$C$4:$E$4,0)))))*INDEX(Assumptions!$C$26:$E$26,1,MATCH($B8,Assumptions!$C$4:$E$4,0))/1000000*IF($G8="Minimal",INDEX(Assumptions!$C$28:$E$28,1,MATCH($B8,Assumptions!$C$4:$E$4,0)),IF($G8="Standard",INDEX(Assumptions!$C$30:$E$30,1,MATCH($B8,Assumptions!$C$4:$E$4,0)),INDEX(Assumptions!$C$32:$E$32,1,MATCH($B8,Assumptions!$C$4:$E$4,0))))+$C8*INDEX(Assumptions!$C$33:$E$33,1,MATCH($B8,Assumptions!$C$4:$E$4,0))*INDEX(Assumptions!$C$34:$E$34,1,MATCH($B8,Assumptions!$C$4:$E$4,0)))</f>
        <v>22.3</v>
      </c>
      <c r="AG8" s="16">
        <f>INDEX(Assumptions!$C$19:$E$19,1,MATCH($B8,Assumptions!$C$4:$E$4,0))</f>
        <v>0</v>
      </c>
      <c r="AH8" s="16">
        <f>$D8*$J8*'COGS Matrix'!$I$30</f>
        <v>0</v>
      </c>
      <c r="AI8" s="16">
        <f>IF($B8="High",'COGS Matrix'!$I$31+IF($G8="Heavy",199,'COGS Matrix'!$I$32),0)</f>
        <v>0</v>
      </c>
      <c r="AJ8" s="16">
        <f t="shared" si="7"/>
        <v>59.650000000000006</v>
      </c>
      <c r="AK8" s="16">
        <f>$AJ8*(1+INDEX(Assumptions!$C$44:$E$44,1,MATCH($B8,Assumptions!$C$4:$E$4,0)))*(1+INDEX(Assumptions!$C$45:$E$45,1,MATCH($B8,Assumptions!$C$4:$E$4,0)))</f>
        <v>82.316999999999993</v>
      </c>
      <c r="AL8" s="16">
        <f>0</f>
        <v>0</v>
      </c>
      <c r="AM8" s="16">
        <f t="shared" si="8"/>
        <v>1049</v>
      </c>
      <c r="AN8" s="16">
        <f>0</f>
        <v>0</v>
      </c>
    </row>
    <row r="9" spans="1:40" ht="23" customHeight="1" x14ac:dyDescent="0.35">
      <c r="A9" s="2" t="s">
        <v>1134</v>
      </c>
      <c r="B9" s="2" t="s">
        <v>5</v>
      </c>
      <c r="C9" s="2">
        <v>500</v>
      </c>
      <c r="D9" s="2">
        <v>5</v>
      </c>
      <c r="E9" s="2">
        <v>6</v>
      </c>
      <c r="F9" s="2" t="s">
        <v>490</v>
      </c>
      <c r="G9" s="2" t="s">
        <v>1132</v>
      </c>
      <c r="H9" s="2" t="s">
        <v>535</v>
      </c>
      <c r="I9" s="2" t="s">
        <v>683</v>
      </c>
      <c r="J9" s="2">
        <v>0</v>
      </c>
      <c r="K9" s="2">
        <v>0</v>
      </c>
      <c r="L9" s="11">
        <v>249</v>
      </c>
      <c r="M9" s="11">
        <v>8</v>
      </c>
      <c r="N9" s="15">
        <f t="shared" si="0"/>
        <v>267.55715999999995</v>
      </c>
      <c r="O9" s="15">
        <f>0</f>
        <v>0</v>
      </c>
      <c r="P9" s="15">
        <f t="shared" si="1"/>
        <v>267.55715999999995</v>
      </c>
      <c r="Q9" s="15">
        <f t="shared" si="2"/>
        <v>5245</v>
      </c>
      <c r="R9" s="14">
        <f t="shared" si="3"/>
        <v>0.94898814871306003</v>
      </c>
      <c r="S9" s="14">
        <f t="shared" si="4"/>
        <v>0.94898814871306003</v>
      </c>
      <c r="T9" s="15">
        <f>N9/(1-INDEX(Assumptions!$C$46:$E$46,1,MATCH($B9,Assumptions!$C$4:$E$4,0)))</f>
        <v>1337.7858000000001</v>
      </c>
      <c r="U9" s="15">
        <f t="shared" si="5"/>
        <v>0.53511431999999992</v>
      </c>
      <c r="V9" s="15">
        <f t="shared" si="6"/>
        <v>53.511431999999992</v>
      </c>
      <c r="W9" s="15">
        <f>0</f>
        <v>0</v>
      </c>
      <c r="X9" s="15">
        <f>0</f>
        <v>0</v>
      </c>
      <c r="Y9" s="2" t="s">
        <v>1135</v>
      </c>
      <c r="Z9" s="16">
        <f>$C9*$E9*INDEX(Assumptions!$C$10:$E$10,1,MATCH($B9,Assumptions!$C$4:$E$4,0))*IF($F9="Economical",INDEX(Assumptions!$C$13:$E$13,1,MATCH($B9,Assumptions!$C$4:$E$4,0)),IF($F9="Base incremental",INDEX(Assumptions!$C$14:$E$14,1,MATCH($B9,Assumptions!$C$4:$E$4,0)),INDEX(Assumptions!$C$15:$E$15,1,MATCH($B9,Assumptions!$C$4:$E$4,0))))*30*INDEX(Assumptions!$C$11:$E$11,1,MATCH($B9,Assumptions!$C$4:$E$4,0))</f>
        <v>9000000</v>
      </c>
      <c r="AA9" s="16">
        <f>$Z9/INDEX(Assumptions!$C$12:$E$12,1,MATCH($B9,Assumptions!$C$4:$E$4,0))+$D9*INDEX(Assumptions!$C$6:$E$6,1,MATCH($B9,Assumptions!$C$4:$E$4,0))*300</f>
        <v>102000</v>
      </c>
      <c r="AB9" s="16">
        <f>'COGS Matrix'!$I$9+MAX(0,($AA9-'COGS Matrix'!$J$10)/1000000)*'COGS Matrix'!$I$10+MAX(0,($AA9*INDEX(Assumptions!$C$16:$E$16,1,MATCH($B9,Assumptions!$C$4:$E$4,0))-'COGS Matrix'!$J$11)/1000000)*'COGS Matrix'!$I$11+MAX(0,($C9*$E9*IF($F9="Economical",INDEX(Assumptions!$C$13:$E$13,1,MATCH($B9,Assumptions!$C$4:$E$4,0)),IF($F9="Base incremental",INDEX(Assumptions!$C$14:$E$14,1,MATCH($B9,Assumptions!$C$4:$E$4,0)),INDEX(Assumptions!$C$15:$E$15,1,MATCH($B9,Assumptions!$C$4:$E$4,0))))*30*3-'COGS Matrix'!$J$12)/1000000)*'COGS Matrix'!$I$12+MAX(0,($AA9*INDEX(Assumptions!$C$17:$E$17,1,MATCH($B9,Assumptions!$C$4:$E$4,0))*INDEX(Assumptions!$C$18:$E$18,1,MATCH($B9,Assumptions!$C$4:$E$4,0))-'COGS Matrix'!$J$13)/1000000)*'COGS Matrix'!$I$13</f>
        <v>5.032</v>
      </c>
      <c r="AC9" s="16">
        <f>MAX(0,CEILING($C9*INDEX(Assumptions!$C$7:$E$7,1,MATCH($B9,Assumptions!$C$4:$E$4,0)),1)-'COGS Matrix'!$J$14)*'COGS Matrix'!$I$14+MAX(0,CEILING($Z9/1000000,1)-'COGS Matrix'!$J$15/1000000)*'COGS Matrix'!$I$15+MAX(0,CEILING($AA9/1000000,1)-'COGS Matrix'!$J$16/1000000)*'COGS Matrix'!$I$16</f>
        <v>50.85</v>
      </c>
      <c r="AD9" s="16">
        <f>IF($H9="BYO",0,IF($H9="Shared",1,IF($H9="Dedicated",$D9,0))*'COGS Matrix'!$I$17+IF($H9="Shared",1,IF($H9="Dedicated",$D9,0))*MAX(0,MAX(IF($Z9&lt;20000000,10,IF($Z9&lt;100000000,15,IF($Z9&lt;500000000,60,111))),IF($K9=1,15,0))-10)+MAX(0,$C9*INDEX(Assumptions!$C$8:$E$8,1,MATCH($B9,Assumptions!$C$4:$E$4,0))-8*IF($H9="Shared",1,IF($H9="Dedicated",$D9,0)))*'COGS Matrix'!$I$19+MAX(0,$C9*INDEX(Assumptions!$C$9:$E$9,1,MATCH($B9,Assumptions!$C$4:$E$4,0))-250*IF($H9="Shared",1,IF($H9="Dedicated",$D9,0)))*'COGS Matrix'!$I$20+$K9*730*IF($H9="Shared",1,IF($H9="Dedicated",$D9,0))*'COGS Matrix'!$I$21)</f>
        <v>26.5</v>
      </c>
      <c r="AE9" s="16">
        <f>IF(ROUNDUP($D9*$E9*INDEX(Assumptions!$C$20:$E$20,1,MATCH($B9,Assumptions!$C$4:$E$4,0)),0)=0,0,'COGS Matrix'!$I$24+MAX(0,ROUNDUP($D9*$E9*INDEX(Assumptions!$C$20:$E$20,1,MATCH($B9,Assumptions!$C$4:$E$4,0)),0)-'COGS Matrix'!$J$24))</f>
        <v>0</v>
      </c>
      <c r="AF9" s="16">
        <f>IF($G9="None",0,$C9*IF($G9="None",0,IF($G9="Minimal",INDEX(Assumptions!$C$22:$E$22,1,MATCH($B9,Assumptions!$C$4:$E$4,0)),IF($G9="Standard",INDEX(Assumptions!$C$23:$E$23,1,MATCH($B9,Assumptions!$C$4:$E$4,0)),INDEX(Assumptions!$C$24:$E$24,1,MATCH($B9,Assumptions!$C$4:$E$4,0)))))*INDEX(Assumptions!$C$25:$E$25,1,MATCH($B9,Assumptions!$C$4:$E$4,0))/1000000*IF($G9="Minimal",INDEX(Assumptions!$C$27:$E$27,1,MATCH($B9,Assumptions!$C$4:$E$4,0)),IF($G9="Standard",INDEX(Assumptions!$C$29:$E$29,1,MATCH($B9,Assumptions!$C$4:$E$4,0)),INDEX(Assumptions!$C$31:$E$31,1,MATCH($B9,Assumptions!$C$4:$E$4,0))))+$C9*IF($G9="None",0,IF($G9="Minimal",INDEX(Assumptions!$C$22:$E$22,1,MATCH($B9,Assumptions!$C$4:$E$4,0)),IF($G9="Standard",INDEX(Assumptions!$C$23:$E$23,1,MATCH($B9,Assumptions!$C$4:$E$4,0)),INDEX(Assumptions!$C$24:$E$24,1,MATCH($B9,Assumptions!$C$4:$E$4,0)))))*INDEX(Assumptions!$C$26:$E$26,1,MATCH($B9,Assumptions!$C$4:$E$4,0))/1000000*IF($G9="Minimal",INDEX(Assumptions!$C$28:$E$28,1,MATCH($B9,Assumptions!$C$4:$E$4,0)),IF($G9="Standard",INDEX(Assumptions!$C$30:$E$30,1,MATCH($B9,Assumptions!$C$4:$E$4,0)),INDEX(Assumptions!$C$32:$E$32,1,MATCH($B9,Assumptions!$C$4:$E$4,0))))+$C9*INDEX(Assumptions!$C$33:$E$33,1,MATCH($B9,Assumptions!$C$4:$E$4,0))*INDEX(Assumptions!$C$34:$E$34,1,MATCH($B9,Assumptions!$C$4:$E$4,0)))</f>
        <v>111.5</v>
      </c>
      <c r="AG9" s="16">
        <f>INDEX(Assumptions!$C$19:$E$19,1,MATCH($B9,Assumptions!$C$4:$E$4,0))</f>
        <v>0</v>
      </c>
      <c r="AH9" s="16">
        <f>$D9*$J9*'COGS Matrix'!$I$30</f>
        <v>0</v>
      </c>
      <c r="AI9" s="16">
        <f>IF($B9="High",'COGS Matrix'!$I$31+IF($G9="Heavy",199,'COGS Matrix'!$I$32),0)</f>
        <v>0</v>
      </c>
      <c r="AJ9" s="16">
        <f t="shared" si="7"/>
        <v>193.88200000000001</v>
      </c>
      <c r="AK9" s="16">
        <f>$AJ9*(1+INDEX(Assumptions!$C$44:$E$44,1,MATCH($B9,Assumptions!$C$4:$E$4,0)))*(1+INDEX(Assumptions!$C$45:$E$45,1,MATCH($B9,Assumptions!$C$4:$E$4,0)))</f>
        <v>267.55715999999995</v>
      </c>
      <c r="AL9" s="16">
        <f>0</f>
        <v>0</v>
      </c>
      <c r="AM9" s="16">
        <f t="shared" si="8"/>
        <v>5245</v>
      </c>
      <c r="AN9" s="16">
        <f>0</f>
        <v>0</v>
      </c>
    </row>
    <row r="10" spans="1:40" ht="23" customHeight="1" x14ac:dyDescent="0.35">
      <c r="A10" s="2" t="s">
        <v>1136</v>
      </c>
      <c r="B10" s="2" t="s">
        <v>5</v>
      </c>
      <c r="C10" s="2">
        <v>2000</v>
      </c>
      <c r="D10" s="2">
        <v>20</v>
      </c>
      <c r="E10" s="2">
        <v>7</v>
      </c>
      <c r="F10" s="2" t="s">
        <v>490</v>
      </c>
      <c r="G10" s="2" t="s">
        <v>1132</v>
      </c>
      <c r="H10" s="2" t="s">
        <v>535</v>
      </c>
      <c r="I10" s="2" t="s">
        <v>683</v>
      </c>
      <c r="J10" s="2">
        <v>0.1</v>
      </c>
      <c r="K10" s="2">
        <v>0</v>
      </c>
      <c r="L10" s="11">
        <v>249</v>
      </c>
      <c r="M10" s="11">
        <v>8</v>
      </c>
      <c r="N10" s="15">
        <f t="shared" si="0"/>
        <v>1404.1030799999999</v>
      </c>
      <c r="O10" s="15">
        <f>0</f>
        <v>0</v>
      </c>
      <c r="P10" s="15">
        <f t="shared" si="1"/>
        <v>1404.1030799999999</v>
      </c>
      <c r="Q10" s="15">
        <f t="shared" si="2"/>
        <v>20980</v>
      </c>
      <c r="R10" s="14">
        <f t="shared" si="3"/>
        <v>0.93307420972354616</v>
      </c>
      <c r="S10" s="14">
        <f t="shared" si="4"/>
        <v>0.93307420972354616</v>
      </c>
      <c r="T10" s="15">
        <f>N10/(1-INDEX(Assumptions!$C$46:$E$46,1,MATCH($B10,Assumptions!$C$4:$E$4,0)))</f>
        <v>7020.5154000000011</v>
      </c>
      <c r="U10" s="15">
        <f t="shared" si="5"/>
        <v>0.70205153999999992</v>
      </c>
      <c r="V10" s="15">
        <f t="shared" si="6"/>
        <v>70.205153999999993</v>
      </c>
      <c r="W10" s="15">
        <f>0</f>
        <v>0</v>
      </c>
      <c r="X10" s="15">
        <f>0</f>
        <v>0</v>
      </c>
      <c r="Y10" s="2" t="s">
        <v>1137</v>
      </c>
      <c r="Z10" s="16">
        <f>$C10*$E10*INDEX(Assumptions!$C$10:$E$10,1,MATCH($B10,Assumptions!$C$4:$E$4,0))*IF($F10="Economical",INDEX(Assumptions!$C$13:$E$13,1,MATCH($B10,Assumptions!$C$4:$E$4,0)),IF($F10="Base incremental",INDEX(Assumptions!$C$14:$E$14,1,MATCH($B10,Assumptions!$C$4:$E$4,0)),INDEX(Assumptions!$C$15:$E$15,1,MATCH($B10,Assumptions!$C$4:$E$4,0))))*30*INDEX(Assumptions!$C$11:$E$11,1,MATCH($B10,Assumptions!$C$4:$E$4,0))</f>
        <v>42000000</v>
      </c>
      <c r="AA10" s="16">
        <f>$Z10/INDEX(Assumptions!$C$12:$E$12,1,MATCH($B10,Assumptions!$C$4:$E$4,0))+$D10*INDEX(Assumptions!$C$6:$E$6,1,MATCH($B10,Assumptions!$C$4:$E$4,0))*300</f>
        <v>468000</v>
      </c>
      <c r="AB10" s="16">
        <f>'COGS Matrix'!$I$9+MAX(0,($AA10-'COGS Matrix'!$J$10)/1000000)*'COGS Matrix'!$I$10+MAX(0,($AA10*INDEX(Assumptions!$C$16:$E$16,1,MATCH($B10,Assumptions!$C$4:$E$4,0))-'COGS Matrix'!$J$11)/1000000)*'COGS Matrix'!$I$11+MAX(0,($C10*$E10*IF($F10="Economical",INDEX(Assumptions!$C$13:$E$13,1,MATCH($B10,Assumptions!$C$4:$E$4,0)),IF($F10="Base incremental",INDEX(Assumptions!$C$14:$E$14,1,MATCH($B10,Assumptions!$C$4:$E$4,0)),INDEX(Assumptions!$C$15:$E$15,1,MATCH($B10,Assumptions!$C$4:$E$4,0))))*30*3-'COGS Matrix'!$J$12)/1000000)*'COGS Matrix'!$I$12+MAX(0,($AA10*INDEX(Assumptions!$C$17:$E$17,1,MATCH($B10,Assumptions!$C$4:$E$4,0))*INDEX(Assumptions!$C$18:$E$18,1,MATCH($B10,Assumptions!$C$4:$E$4,0))-'COGS Matrix'!$J$13)/1000000)*'COGS Matrix'!$I$13</f>
        <v>6.6159999999999997</v>
      </c>
      <c r="AC10" s="16">
        <f>MAX(0,CEILING($C10*INDEX(Assumptions!$C$7:$E$7,1,MATCH($B10,Assumptions!$C$4:$E$4,0)),1)-'COGS Matrix'!$J$14)*'COGS Matrix'!$I$14+MAX(0,CEILING($Z10/1000000,1)-'COGS Matrix'!$J$15/1000000)*'COGS Matrix'!$I$15+MAX(0,CEILING($AA10/1000000,1)-'COGS Matrix'!$J$16/1000000)*'COGS Matrix'!$I$16</f>
        <v>244.35</v>
      </c>
      <c r="AD10" s="16">
        <f>IF($H10="BYO",0,IF($H10="Shared",1,IF($H10="Dedicated",$D10,0))*'COGS Matrix'!$I$17+IF($H10="Shared",1,IF($H10="Dedicated",$D10,0))*MAX(0,MAX(IF($Z10&lt;20000000,10,IF($Z10&lt;100000000,15,IF($Z10&lt;500000000,60,111))),IF($K10=1,15,0))-10)+MAX(0,$C10*INDEX(Assumptions!$C$8:$E$8,1,MATCH($B10,Assumptions!$C$4:$E$4,0))-8*IF($H10="Shared",1,IF($H10="Dedicated",$D10,0)))*'COGS Matrix'!$I$19+MAX(0,$C10*INDEX(Assumptions!$C$9:$E$9,1,MATCH($B10,Assumptions!$C$4:$E$4,0))-250*IF($H10="Shared",1,IF($H10="Dedicated",$D10,0)))*'COGS Matrix'!$I$20+$K10*730*IF($H10="Shared",1,IF($H10="Dedicated",$D10,0))*'COGS Matrix'!$I$21)</f>
        <v>70.5</v>
      </c>
      <c r="AE10" s="16">
        <f>IF(ROUNDUP($D10*$E10*INDEX(Assumptions!$C$20:$E$20,1,MATCH($B10,Assumptions!$C$4:$E$4,0)),0)=0,0,'COGS Matrix'!$I$24+MAX(0,ROUNDUP($D10*$E10*INDEX(Assumptions!$C$20:$E$20,1,MATCH($B10,Assumptions!$C$4:$E$4,0)),0)-'COGS Matrix'!$J$24))</f>
        <v>0</v>
      </c>
      <c r="AF10" s="16">
        <f>IF($G10="None",0,$C10*IF($G10="None",0,IF($G10="Minimal",INDEX(Assumptions!$C$22:$E$22,1,MATCH($B10,Assumptions!$C$4:$E$4,0)),IF($G10="Standard",INDEX(Assumptions!$C$23:$E$23,1,MATCH($B10,Assumptions!$C$4:$E$4,0)),INDEX(Assumptions!$C$24:$E$24,1,MATCH($B10,Assumptions!$C$4:$E$4,0)))))*INDEX(Assumptions!$C$25:$E$25,1,MATCH($B10,Assumptions!$C$4:$E$4,0))/1000000*IF($G10="Minimal",INDEX(Assumptions!$C$27:$E$27,1,MATCH($B10,Assumptions!$C$4:$E$4,0)),IF($G10="Standard",INDEX(Assumptions!$C$29:$E$29,1,MATCH($B10,Assumptions!$C$4:$E$4,0)),INDEX(Assumptions!$C$31:$E$31,1,MATCH($B10,Assumptions!$C$4:$E$4,0))))+$C10*IF($G10="None",0,IF($G10="Minimal",INDEX(Assumptions!$C$22:$E$22,1,MATCH($B10,Assumptions!$C$4:$E$4,0)),IF($G10="Standard",INDEX(Assumptions!$C$23:$E$23,1,MATCH($B10,Assumptions!$C$4:$E$4,0)),INDEX(Assumptions!$C$24:$E$24,1,MATCH($B10,Assumptions!$C$4:$E$4,0)))))*INDEX(Assumptions!$C$26:$E$26,1,MATCH($B10,Assumptions!$C$4:$E$4,0))/1000000*IF($G10="Minimal",INDEX(Assumptions!$C$28:$E$28,1,MATCH($B10,Assumptions!$C$4:$E$4,0)),IF($G10="Standard",INDEX(Assumptions!$C$30:$E$30,1,MATCH($B10,Assumptions!$C$4:$E$4,0)),INDEX(Assumptions!$C$32:$E$32,1,MATCH($B10,Assumptions!$C$4:$E$4,0))))+$C10*INDEX(Assumptions!$C$33:$E$33,1,MATCH($B10,Assumptions!$C$4:$E$4,0))*INDEX(Assumptions!$C$34:$E$34,1,MATCH($B10,Assumptions!$C$4:$E$4,0)))</f>
        <v>446</v>
      </c>
      <c r="AG10" s="16">
        <f>INDEX(Assumptions!$C$19:$E$19,1,MATCH($B10,Assumptions!$C$4:$E$4,0))</f>
        <v>0</v>
      </c>
      <c r="AH10" s="16">
        <f>$D10*$J10*'COGS Matrix'!$I$30</f>
        <v>250</v>
      </c>
      <c r="AI10" s="16">
        <f>IF($B10="High",'COGS Matrix'!$I$31+IF($G10="Heavy",199,'COGS Matrix'!$I$32),0)</f>
        <v>0</v>
      </c>
      <c r="AJ10" s="16">
        <f t="shared" si="7"/>
        <v>1017.466</v>
      </c>
      <c r="AK10" s="16">
        <f>$AJ10*(1+INDEX(Assumptions!$C$44:$E$44,1,MATCH($B10,Assumptions!$C$4:$E$4,0)))*(1+INDEX(Assumptions!$C$45:$E$45,1,MATCH($B10,Assumptions!$C$4:$E$4,0)))</f>
        <v>1404.1030799999999</v>
      </c>
      <c r="AL10" s="16">
        <f>0</f>
        <v>0</v>
      </c>
      <c r="AM10" s="16">
        <f t="shared" si="8"/>
        <v>20980</v>
      </c>
      <c r="AN10" s="16">
        <f>0</f>
        <v>0</v>
      </c>
    </row>
    <row r="11" spans="1:40" ht="23" customHeight="1" x14ac:dyDescent="0.35">
      <c r="A11" s="2" t="s">
        <v>1138</v>
      </c>
      <c r="B11" s="2" t="s">
        <v>5</v>
      </c>
      <c r="C11" s="2">
        <v>10000</v>
      </c>
      <c r="D11" s="2">
        <v>100</v>
      </c>
      <c r="E11" s="2">
        <v>8</v>
      </c>
      <c r="F11" s="2" t="s">
        <v>1139</v>
      </c>
      <c r="G11" s="2" t="s">
        <v>1140</v>
      </c>
      <c r="H11" s="2" t="s">
        <v>535</v>
      </c>
      <c r="I11" s="2" t="s">
        <v>683</v>
      </c>
      <c r="J11" s="2">
        <v>0.2</v>
      </c>
      <c r="K11" s="2">
        <v>0</v>
      </c>
      <c r="L11" s="11">
        <v>249</v>
      </c>
      <c r="M11" s="11">
        <v>8</v>
      </c>
      <c r="N11" s="15">
        <f t="shared" si="0"/>
        <v>161496.576072</v>
      </c>
      <c r="O11" s="15">
        <f>0</f>
        <v>0</v>
      </c>
      <c r="P11" s="15">
        <f t="shared" si="1"/>
        <v>161496.576072</v>
      </c>
      <c r="Q11" s="15">
        <f t="shared" si="2"/>
        <v>104900</v>
      </c>
      <c r="R11" s="14">
        <f t="shared" si="3"/>
        <v>-0.53952884720686367</v>
      </c>
      <c r="S11" s="14">
        <f t="shared" si="4"/>
        <v>-0.53952884720686367</v>
      </c>
      <c r="T11" s="15">
        <f>N11/(1-INDEX(Assumptions!$C$46:$E$46,1,MATCH($B11,Assumptions!$C$4:$E$4,0)))</f>
        <v>807482.88036000018</v>
      </c>
      <c r="U11" s="15">
        <f t="shared" si="5"/>
        <v>16.149657607199998</v>
      </c>
      <c r="V11" s="15">
        <f t="shared" si="6"/>
        <v>1614.9657607199999</v>
      </c>
      <c r="W11" s="15">
        <f>0</f>
        <v>0</v>
      </c>
      <c r="X11" s="15">
        <f>0</f>
        <v>0</v>
      </c>
      <c r="Y11" s="2" t="s">
        <v>1141</v>
      </c>
      <c r="Z11" s="16">
        <f>$C11*$E11*INDEX(Assumptions!$C$10:$E$10,1,MATCH($B11,Assumptions!$C$4:$E$4,0))*IF($F11="Economical",INDEX(Assumptions!$C$13:$E$13,1,MATCH($B11,Assumptions!$C$4:$E$4,0)),IF($F11="Base incremental",INDEX(Assumptions!$C$14:$E$14,1,MATCH($B11,Assumptions!$C$4:$E$4,0)),INDEX(Assumptions!$C$15:$E$15,1,MATCH($B11,Assumptions!$C$4:$E$4,0))))*30*INDEX(Assumptions!$C$11:$E$11,1,MATCH($B11,Assumptions!$C$4:$E$4,0))</f>
        <v>1440000000</v>
      </c>
      <c r="AA11" s="16">
        <f>$Z11/INDEX(Assumptions!$C$12:$E$12,1,MATCH($B11,Assumptions!$C$4:$E$4,0))+$D11*INDEX(Assumptions!$C$6:$E$6,1,MATCH($B11,Assumptions!$C$4:$E$4,0))*300</f>
        <v>14640000</v>
      </c>
      <c r="AB11" s="16">
        <f>'COGS Matrix'!$I$9+MAX(0,($AA11-'COGS Matrix'!$J$10)/1000000)*'COGS Matrix'!$I$10+MAX(0,($AA11*INDEX(Assumptions!$C$16:$E$16,1,MATCH($B11,Assumptions!$C$4:$E$4,0))-'COGS Matrix'!$J$11)/1000000)*'COGS Matrix'!$I$11+MAX(0,($C11*$E11*IF($F11="Economical",INDEX(Assumptions!$C$13:$E$13,1,MATCH($B11,Assumptions!$C$4:$E$4,0)),IF($F11="Base incremental",INDEX(Assumptions!$C$14:$E$14,1,MATCH($B11,Assumptions!$C$4:$E$4,0)),INDEX(Assumptions!$C$15:$E$15,1,MATCH($B11,Assumptions!$C$4:$E$4,0))))*30*3-'COGS Matrix'!$J$12)/1000000)*'COGS Matrix'!$I$12+MAX(0,($AA11*INDEX(Assumptions!$C$17:$E$17,1,MATCH($B11,Assumptions!$C$4:$E$4,0))*INDEX(Assumptions!$C$18:$E$18,1,MATCH($B11,Assumptions!$C$4:$E$4,0))-'COGS Matrix'!$J$13)/1000000)*'COGS Matrix'!$I$13</f>
        <v>76.854400000000012</v>
      </c>
      <c r="AC11" s="16">
        <f>MAX(0,CEILING($C11*INDEX(Assumptions!$C$7:$E$7,1,MATCH($B11,Assumptions!$C$4:$E$4,0)),1)-'COGS Matrix'!$J$14)*'COGS Matrix'!$I$14+MAX(0,CEILING($Z11/1000000,1)-'COGS Matrix'!$J$15/1000000)*'COGS Matrix'!$I$15+MAX(0,CEILING($AA11/1000000,1)-'COGS Matrix'!$J$16/1000000)*'COGS Matrix'!$I$16</f>
        <v>6777.1500000000005</v>
      </c>
      <c r="AD11" s="16">
        <f>IF($H11="BYO",0,IF($H11="Shared",1,IF($H11="Dedicated",$D11,0))*'COGS Matrix'!$I$17+IF($H11="Shared",1,IF($H11="Dedicated",$D11,0))*MAX(0,MAX(IF($Z11&lt;20000000,10,IF($Z11&lt;100000000,15,IF($Z11&lt;500000000,60,111))),IF($K11=1,15,0))-10)+MAX(0,$C11*INDEX(Assumptions!$C$8:$E$8,1,MATCH($B11,Assumptions!$C$4:$E$4,0))-8*IF($H11="Shared",1,IF($H11="Dedicated",$D11,0)))*'COGS Matrix'!$I$19+MAX(0,$C11*INDEX(Assumptions!$C$9:$E$9,1,MATCH($B11,Assumptions!$C$4:$E$4,0))-250*IF($H11="Shared",1,IF($H11="Dedicated",$D11,0)))*'COGS Matrix'!$I$20+$K11*730*IF($H11="Shared",1,IF($H11="Dedicated",$D11,0))*'COGS Matrix'!$I$21)</f>
        <v>422.5</v>
      </c>
      <c r="AE11" s="16">
        <f>IF(ROUNDUP($D11*$E11*INDEX(Assumptions!$C$20:$E$20,1,MATCH($B11,Assumptions!$C$4:$E$4,0)),0)=0,0,'COGS Matrix'!$I$24+MAX(0,ROUNDUP($D11*$E11*INDEX(Assumptions!$C$20:$E$20,1,MATCH($B11,Assumptions!$C$4:$E$4,0)),0)-'COGS Matrix'!$J$24))</f>
        <v>0</v>
      </c>
      <c r="AF11" s="16">
        <f>IF($G11="None",0,$C11*IF($G11="None",0,IF($G11="Minimal",INDEX(Assumptions!$C$22:$E$22,1,MATCH($B11,Assumptions!$C$4:$E$4,0)),IF($G11="Standard",INDEX(Assumptions!$C$23:$E$23,1,MATCH($B11,Assumptions!$C$4:$E$4,0)),INDEX(Assumptions!$C$24:$E$24,1,MATCH($B11,Assumptions!$C$4:$E$4,0)))))*INDEX(Assumptions!$C$25:$E$25,1,MATCH($B11,Assumptions!$C$4:$E$4,0))/1000000*IF($G11="Minimal",INDEX(Assumptions!$C$27:$E$27,1,MATCH($B11,Assumptions!$C$4:$E$4,0)),IF($G11="Standard",INDEX(Assumptions!$C$29:$E$29,1,MATCH($B11,Assumptions!$C$4:$E$4,0)),INDEX(Assumptions!$C$31:$E$31,1,MATCH($B11,Assumptions!$C$4:$E$4,0))))+$C11*IF($G11="None",0,IF($G11="Minimal",INDEX(Assumptions!$C$22:$E$22,1,MATCH($B11,Assumptions!$C$4:$E$4,0)),IF($G11="Standard",INDEX(Assumptions!$C$23:$E$23,1,MATCH($B11,Assumptions!$C$4:$E$4,0)),INDEX(Assumptions!$C$24:$E$24,1,MATCH($B11,Assumptions!$C$4:$E$4,0)))))*INDEX(Assumptions!$C$26:$E$26,1,MATCH($B11,Assumptions!$C$4:$E$4,0))/1000000*IF($G11="Minimal",INDEX(Assumptions!$C$28:$E$28,1,MATCH($B11,Assumptions!$C$4:$E$4,0)),IF($G11="Standard",INDEX(Assumptions!$C$30:$E$30,1,MATCH($B11,Assumptions!$C$4:$E$4,0)),INDEX(Assumptions!$C$32:$E$32,1,MATCH($B11,Assumptions!$C$4:$E$4,0))))+$C11*INDEX(Assumptions!$C$33:$E$33,1,MATCH($B11,Assumptions!$C$4:$E$4,0))*INDEX(Assumptions!$C$34:$E$34,1,MATCH($B11,Assumptions!$C$4:$E$4,0)))</f>
        <v>107250</v>
      </c>
      <c r="AG11" s="16">
        <f>INDEX(Assumptions!$C$19:$E$19,1,MATCH($B11,Assumptions!$C$4:$E$4,0))</f>
        <v>0</v>
      </c>
      <c r="AH11" s="16">
        <f>$D11*$J11*'COGS Matrix'!$I$30</f>
        <v>2500</v>
      </c>
      <c r="AI11" s="16">
        <f>IF($B11="High",'COGS Matrix'!$I$31+IF($G11="Heavy",199,'COGS Matrix'!$I$32),0)</f>
        <v>0</v>
      </c>
      <c r="AJ11" s="16">
        <f t="shared" si="7"/>
        <v>117026.50440000001</v>
      </c>
      <c r="AK11" s="16">
        <f>$AJ11*(1+INDEX(Assumptions!$C$44:$E$44,1,MATCH($B11,Assumptions!$C$4:$E$4,0)))*(1+INDEX(Assumptions!$C$45:$E$45,1,MATCH($B11,Assumptions!$C$4:$E$4,0)))</f>
        <v>161496.576072</v>
      </c>
      <c r="AL11" s="16">
        <f>0</f>
        <v>0</v>
      </c>
      <c r="AM11" s="16">
        <f t="shared" si="8"/>
        <v>104900</v>
      </c>
      <c r="AN11" s="16">
        <f>0</f>
        <v>0</v>
      </c>
    </row>
  </sheetData>
  <mergeCells count="2">
    <mergeCell ref="A2:Y2"/>
    <mergeCell ref="A1:Y1"/>
  </mergeCells>
  <dataValidations count="5">
    <dataValidation type="list" sqref="B5:B100" xr:uid="{00000000-0002-0000-0500-000000000000}">
      <formula1>"Low,Base,High"</formula1>
    </dataValidation>
    <dataValidation type="list" sqref="F5:F100" xr:uid="{00000000-0002-0000-0500-000001000000}">
      <formula1>"Economical,Base incremental,Aggressive"</formula1>
    </dataValidation>
    <dataValidation type="list" sqref="G5:G100" xr:uid="{00000000-0002-0000-0500-000002000000}">
      <formula1>"None,Minimal,Standard,Heavy"</formula1>
    </dataValidation>
    <dataValidation type="list" sqref="H5:H100" xr:uid="{00000000-0002-0000-0500-000003000000}">
      <formula1>"Shared,BYO,Dedicated"</formula1>
    </dataValidation>
    <dataValidation type="list" sqref="I5:I100" xr:uid="{00000000-0002-0000-0500-000004000000}">
      <formula1>"Platform,Accelerator"</formula1>
    </dataValidation>
  </dataValidations>
  <pageMargins left="0.25" right="0.25" top="0.5" bottom="0.5" header="0.5" footer="0.5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24"/>
  <sheetViews>
    <sheetView showGridLines="0" workbookViewId="0">
      <pane ySplit="4" topLeftCell="A5" activePane="bottomLeft" state="frozen"/>
      <selection pane="bottomLeft"/>
    </sheetView>
  </sheetViews>
  <sheetFormatPr defaultRowHeight="14.5" x14ac:dyDescent="0.35"/>
  <cols>
    <col min="1" max="23" width="16" customWidth="1"/>
    <col min="25" max="39" width="13" hidden="1" customWidth="1"/>
  </cols>
  <sheetData>
    <row r="1" spans="1:39" ht="26" customHeight="1" x14ac:dyDescent="0.35">
      <c r="A1" s="41" t="s">
        <v>1142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39" ht="30" customHeight="1" x14ac:dyDescent="0.35">
      <c r="A2" s="43" t="s">
        <v>1143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4" spans="1:39" ht="28" customHeight="1" x14ac:dyDescent="0.35">
      <c r="A4" s="1" t="s">
        <v>521</v>
      </c>
      <c r="B4" s="1" t="s">
        <v>523</v>
      </c>
      <c r="C4" s="1" t="s">
        <v>1107</v>
      </c>
      <c r="D4" s="1" t="s">
        <v>481</v>
      </c>
      <c r="E4" s="1" t="s">
        <v>29</v>
      </c>
      <c r="F4" s="1" t="s">
        <v>72</v>
      </c>
      <c r="G4" s="1" t="s">
        <v>534</v>
      </c>
      <c r="H4" s="1" t="s">
        <v>463</v>
      </c>
      <c r="I4" s="1" t="s">
        <v>1108</v>
      </c>
      <c r="J4" s="1" t="s">
        <v>238</v>
      </c>
      <c r="K4" s="1" t="s">
        <v>1144</v>
      </c>
      <c r="L4" s="1" t="s">
        <v>1110</v>
      </c>
      <c r="M4" s="1" t="s">
        <v>1111</v>
      </c>
      <c r="N4" s="1" t="s">
        <v>1112</v>
      </c>
      <c r="O4" s="1" t="s">
        <v>1113</v>
      </c>
      <c r="P4" s="1" t="s">
        <v>629</v>
      </c>
      <c r="Q4" s="1" t="s">
        <v>1115</v>
      </c>
      <c r="R4" s="1" t="s">
        <v>1116</v>
      </c>
      <c r="S4" s="1" t="s">
        <v>1117</v>
      </c>
      <c r="T4" s="1" t="s">
        <v>1118</v>
      </c>
      <c r="U4" s="1" t="s">
        <v>1119</v>
      </c>
      <c r="V4" s="1" t="s">
        <v>1120</v>
      </c>
      <c r="W4" s="1" t="s">
        <v>1121</v>
      </c>
    </row>
    <row r="5" spans="1:39" x14ac:dyDescent="0.35">
      <c r="A5" s="2" t="s">
        <v>5</v>
      </c>
      <c r="B5" s="2">
        <v>25</v>
      </c>
      <c r="C5" s="2">
        <v>1</v>
      </c>
      <c r="D5" s="2">
        <v>6</v>
      </c>
      <c r="E5" s="2" t="s">
        <v>490</v>
      </c>
      <c r="F5" s="2" t="s">
        <v>1132</v>
      </c>
      <c r="G5" s="2" t="s">
        <v>535</v>
      </c>
      <c r="H5" s="2" t="s">
        <v>683</v>
      </c>
      <c r="I5" s="2">
        <v>0</v>
      </c>
      <c r="J5" s="2">
        <v>0</v>
      </c>
      <c r="K5" s="11">
        <v>249</v>
      </c>
      <c r="L5" s="11">
        <v>8</v>
      </c>
      <c r="M5" s="15">
        <f t="shared" ref="M5:M24" si="0">$AJ5</f>
        <v>49.921500000000002</v>
      </c>
      <c r="N5" s="15">
        <f>0</f>
        <v>0</v>
      </c>
      <c r="O5" s="15">
        <f t="shared" ref="O5:O24" si="1">M5</f>
        <v>49.921500000000002</v>
      </c>
      <c r="P5" s="15">
        <f t="shared" ref="P5:P24" si="2">$AL5</f>
        <v>449</v>
      </c>
      <c r="Q5" s="14">
        <f t="shared" ref="Q5:Q24" si="3">IF(P5=0,0,(P5-M5)/P5)</f>
        <v>0.88881625835189315</v>
      </c>
      <c r="R5" s="14">
        <f t="shared" ref="R5:R24" si="4">Q5</f>
        <v>0.88881625835189315</v>
      </c>
      <c r="S5" s="15">
        <f>M5/(1-INDEX(Assumptions!$C$46:$E$46,1,MATCH($A5,Assumptions!$C$4:$E$4,0)))</f>
        <v>249.60750000000007</v>
      </c>
      <c r="T5" s="15">
        <f t="shared" ref="T5:T24" si="5">M5/B5</f>
        <v>1.9968600000000001</v>
      </c>
      <c r="U5" s="15">
        <f t="shared" ref="U5:U24" si="6">M5/C5</f>
        <v>49.921500000000002</v>
      </c>
      <c r="V5" s="15">
        <f>0</f>
        <v>0</v>
      </c>
      <c r="W5" s="15">
        <f>0</f>
        <v>0</v>
      </c>
      <c r="Y5" s="16">
        <f>$B5*$D5*INDEX(Assumptions!$C$10:$E$10,1,MATCH($A5,Assumptions!$C$4:$E$4,0))*IF($E5="Economical",INDEX(Assumptions!$C$13:$E$13,1,MATCH($A5,Assumptions!$C$4:$E$4,0)),IF($E5="Base incremental",INDEX(Assumptions!$C$14:$E$14,1,MATCH($A5,Assumptions!$C$4:$E$4,0)),INDEX(Assumptions!$C$15:$E$15,1,MATCH($A5,Assumptions!$C$4:$E$4,0))))*30*INDEX(Assumptions!$C$11:$E$11,1,MATCH($A5,Assumptions!$C$4:$E$4,0))</f>
        <v>450000</v>
      </c>
      <c r="Z5" s="16">
        <f>$Y5/INDEX(Assumptions!$C$12:$E$12,1,MATCH($A5,Assumptions!$C$4:$E$4,0))+$C5*INDEX(Assumptions!$C$6:$E$6,1,MATCH($A5,Assumptions!$C$4:$E$4,0))*300</f>
        <v>6900</v>
      </c>
      <c r="AA5" s="16">
        <f>'COGS Matrix'!$I$9+MAX(0,($Z5-'COGS Matrix'!$J$10)/1000000)*'COGS Matrix'!$I$10+MAX(0,($Z5*INDEX(Assumptions!$C$16:$E$16,1,MATCH($A5,Assumptions!$C$4:$E$4,0))-'COGS Matrix'!$J$11)/1000000)*'COGS Matrix'!$I$11+MAX(0,($B5*$D5*IF($E5="Economical",INDEX(Assumptions!$C$13:$E$13,1,MATCH($A5,Assumptions!$C$4:$E$4,0)),IF($E5="Base incremental",INDEX(Assumptions!$C$14:$E$14,1,MATCH($A5,Assumptions!$C$4:$E$4,0)),INDEX(Assumptions!$C$15:$E$15,1,MATCH($A5,Assumptions!$C$4:$E$4,0))))*30*3-'COGS Matrix'!$J$12)/1000000)*'COGS Matrix'!$I$12+MAX(0,($Z5*INDEX(Assumptions!$C$17:$E$17,1,MATCH($A5,Assumptions!$C$4:$E$4,0))*INDEX(Assumptions!$C$18:$E$18,1,MATCH($A5,Assumptions!$C$4:$E$4,0))-'COGS Matrix'!$J$13)/1000000)*'COGS Matrix'!$I$13</f>
        <v>5</v>
      </c>
      <c r="AB5" s="16">
        <f>MAX(0,CEILING($B5*INDEX(Assumptions!$C$7:$E$7,1,MATCH($A5,Assumptions!$C$4:$E$4,0)),1)-'COGS Matrix'!$J$14)*'COGS Matrix'!$I$14+MAX(0,CEILING($Y5/1000000,1)-'COGS Matrix'!$J$15/1000000)*'COGS Matrix'!$I$15+MAX(0,CEILING($Z5/1000000,1)-'COGS Matrix'!$J$16/1000000)*'COGS Matrix'!$I$16</f>
        <v>0.6</v>
      </c>
      <c r="AC5" s="16">
        <f>IF($G5="BYO",0,IF($G5="Shared",1,IF($G5="Dedicated",$C5,0))*'COGS Matrix'!$I$17+IF($G5="Shared",1,IF($G5="Dedicated",$C5,0))*MAX(0,MAX(IF($Y5&lt;20000000,10,IF($Y5&lt;100000000,15,IF($Y5&lt;500000000,60,111))),IF($J5=1,15,0))-10)+MAX(0,$B5*INDEX(Assumptions!$C$8:$E$8,1,MATCH($A5,Assumptions!$C$4:$E$4,0))-8*IF($G5="Shared",1,IF($G5="Dedicated",$C5,0)))*'COGS Matrix'!$I$19+MAX(0,$B5*INDEX(Assumptions!$C$9:$E$9,1,MATCH($A5,Assumptions!$C$4:$E$4,0))-250*IF($G5="Shared",1,IF($G5="Dedicated",$C5,0)))*'COGS Matrix'!$I$20+$J5*730*IF($G5="Shared",1,IF($G5="Dedicated",$C5,0))*'COGS Matrix'!$I$21)</f>
        <v>25</v>
      </c>
      <c r="AD5" s="16">
        <f>IF(ROUNDUP($C5*$D5*INDEX(Assumptions!$C$20:$E$20,1,MATCH($A5,Assumptions!$C$4:$E$4,0)),0)=0,0,'COGS Matrix'!$I$24+MAX(0,ROUNDUP($C5*$D5*INDEX(Assumptions!$C$20:$E$20,1,MATCH($A5,Assumptions!$C$4:$E$4,0)),0)-'COGS Matrix'!$J$24))</f>
        <v>0</v>
      </c>
      <c r="AE5" s="16">
        <f>IF($F5="None",0,$B5*IF($F5="None",0,IF($F5="Minimal",INDEX(Assumptions!$C$22:$E$22,1,MATCH($A5,Assumptions!$C$4:$E$4,0)),IF($F5="Standard",INDEX(Assumptions!$C$23:$E$23,1,MATCH($A5,Assumptions!$C$4:$E$4,0)),INDEX(Assumptions!$C$24:$E$24,1,MATCH($A5,Assumptions!$C$4:$E$4,0)))))*INDEX(Assumptions!$C$25:$E$25,1,MATCH($A5,Assumptions!$C$4:$E$4,0))/1000000*IF($F5="Minimal",INDEX(Assumptions!$C$27:$E$27,1,MATCH($A5,Assumptions!$C$4:$E$4,0)),IF($F5="Standard",INDEX(Assumptions!$C$29:$E$29,1,MATCH($A5,Assumptions!$C$4:$E$4,0)),INDEX(Assumptions!$C$31:$E$31,1,MATCH($A5,Assumptions!$C$4:$E$4,0))))+$B5*IF($F5="None",0,IF($F5="Minimal",INDEX(Assumptions!$C$22:$E$22,1,MATCH($A5,Assumptions!$C$4:$E$4,0)),IF($F5="Standard",INDEX(Assumptions!$C$23:$E$23,1,MATCH($A5,Assumptions!$C$4:$E$4,0)),INDEX(Assumptions!$C$24:$E$24,1,MATCH($A5,Assumptions!$C$4:$E$4,0)))))*INDEX(Assumptions!$C$26:$E$26,1,MATCH($A5,Assumptions!$C$4:$E$4,0))/1000000*IF($F5="Minimal",INDEX(Assumptions!$C$28:$E$28,1,MATCH($A5,Assumptions!$C$4:$E$4,0)),IF($F5="Standard",INDEX(Assumptions!$C$30:$E$30,1,MATCH($A5,Assumptions!$C$4:$E$4,0)),INDEX(Assumptions!$C$32:$E$32,1,MATCH($A5,Assumptions!$C$4:$E$4,0))))+$B5*INDEX(Assumptions!$C$33:$E$33,1,MATCH($A5,Assumptions!$C$4:$E$4,0))*INDEX(Assumptions!$C$34:$E$34,1,MATCH($A5,Assumptions!$C$4:$E$4,0)))</f>
        <v>5.5750000000000002</v>
      </c>
      <c r="AF5" s="16">
        <f>INDEX(Assumptions!$C$19:$E$19,1,MATCH($A5,Assumptions!$C$4:$E$4,0))</f>
        <v>0</v>
      </c>
      <c r="AG5" s="16">
        <f>$C5*$I5*'COGS Matrix'!$I$30</f>
        <v>0</v>
      </c>
      <c r="AH5" s="16">
        <f>IF($A5="High",'COGS Matrix'!$I$31+IF($F5="Heavy",199,'COGS Matrix'!$I$32),0)</f>
        <v>0</v>
      </c>
      <c r="AI5" s="16">
        <f t="shared" ref="AI5:AI24" si="7">SUM($AA5:$AH5)</f>
        <v>36.175000000000004</v>
      </c>
      <c r="AJ5" s="16">
        <f>$AI5*(1+INDEX(Assumptions!$C$44:$E$44,1,MATCH($A5,Assumptions!$C$4:$E$4,0)))*(1+INDEX(Assumptions!$C$45:$E$45,1,MATCH($A5,Assumptions!$C$4:$E$4,0)))</f>
        <v>49.921500000000002</v>
      </c>
      <c r="AK5" s="16">
        <f>0</f>
        <v>0</v>
      </c>
      <c r="AL5" s="16">
        <f t="shared" ref="AL5:AL24" si="8">($C5*$K5+$B5*$L5)</f>
        <v>449</v>
      </c>
      <c r="AM5" s="16">
        <f>0</f>
        <v>0</v>
      </c>
    </row>
    <row r="6" spans="1:39" x14ac:dyDescent="0.35">
      <c r="A6" s="2" t="s">
        <v>5</v>
      </c>
      <c r="B6" s="2">
        <v>25</v>
      </c>
      <c r="C6" s="2">
        <v>5</v>
      </c>
      <c r="D6" s="2">
        <v>6</v>
      </c>
      <c r="E6" s="2" t="s">
        <v>490</v>
      </c>
      <c r="F6" s="2" t="s">
        <v>1132</v>
      </c>
      <c r="G6" s="2" t="s">
        <v>535</v>
      </c>
      <c r="H6" s="2" t="s">
        <v>683</v>
      </c>
      <c r="I6" s="2">
        <v>0</v>
      </c>
      <c r="J6" s="2">
        <v>0</v>
      </c>
      <c r="K6" s="11">
        <v>249</v>
      </c>
      <c r="L6" s="11">
        <v>8</v>
      </c>
      <c r="M6" s="15">
        <f t="shared" si="0"/>
        <v>49.921500000000002</v>
      </c>
      <c r="N6" s="15">
        <f>0</f>
        <v>0</v>
      </c>
      <c r="O6" s="15">
        <f t="shared" si="1"/>
        <v>49.921500000000002</v>
      </c>
      <c r="P6" s="15">
        <f t="shared" si="2"/>
        <v>1445</v>
      </c>
      <c r="Q6" s="14">
        <f t="shared" si="3"/>
        <v>0.9654522491349482</v>
      </c>
      <c r="R6" s="14">
        <f t="shared" si="4"/>
        <v>0.9654522491349482</v>
      </c>
      <c r="S6" s="15">
        <f>M6/(1-INDEX(Assumptions!$C$46:$E$46,1,MATCH($A6,Assumptions!$C$4:$E$4,0)))</f>
        <v>249.60750000000007</v>
      </c>
      <c r="T6" s="15">
        <f t="shared" si="5"/>
        <v>1.9968600000000001</v>
      </c>
      <c r="U6" s="15">
        <f t="shared" si="6"/>
        <v>9.9843000000000011</v>
      </c>
      <c r="V6" s="15">
        <f>0</f>
        <v>0</v>
      </c>
      <c r="W6" s="15">
        <f>0</f>
        <v>0</v>
      </c>
      <c r="Y6" s="16">
        <f>$B6*$D6*INDEX(Assumptions!$C$10:$E$10,1,MATCH($A6,Assumptions!$C$4:$E$4,0))*IF($E6="Economical",INDEX(Assumptions!$C$13:$E$13,1,MATCH($A6,Assumptions!$C$4:$E$4,0)),IF($E6="Base incremental",INDEX(Assumptions!$C$14:$E$14,1,MATCH($A6,Assumptions!$C$4:$E$4,0)),INDEX(Assumptions!$C$15:$E$15,1,MATCH($A6,Assumptions!$C$4:$E$4,0))))*30*INDEX(Assumptions!$C$11:$E$11,1,MATCH($A6,Assumptions!$C$4:$E$4,0))</f>
        <v>450000</v>
      </c>
      <c r="Z6" s="16">
        <f>$Y6/INDEX(Assumptions!$C$12:$E$12,1,MATCH($A6,Assumptions!$C$4:$E$4,0))+$C6*INDEX(Assumptions!$C$6:$E$6,1,MATCH($A6,Assumptions!$C$4:$E$4,0))*300</f>
        <v>16500</v>
      </c>
      <c r="AA6" s="16">
        <f>'COGS Matrix'!$I$9+MAX(0,($Z6-'COGS Matrix'!$J$10)/1000000)*'COGS Matrix'!$I$10+MAX(0,($Z6*INDEX(Assumptions!$C$16:$E$16,1,MATCH($A6,Assumptions!$C$4:$E$4,0))-'COGS Matrix'!$J$11)/1000000)*'COGS Matrix'!$I$11+MAX(0,($B6*$D6*IF($E6="Economical",INDEX(Assumptions!$C$13:$E$13,1,MATCH($A6,Assumptions!$C$4:$E$4,0)),IF($E6="Base incremental",INDEX(Assumptions!$C$14:$E$14,1,MATCH($A6,Assumptions!$C$4:$E$4,0)),INDEX(Assumptions!$C$15:$E$15,1,MATCH($A6,Assumptions!$C$4:$E$4,0))))*30*3-'COGS Matrix'!$J$12)/1000000)*'COGS Matrix'!$I$12+MAX(0,($Z6*INDEX(Assumptions!$C$17:$E$17,1,MATCH($A6,Assumptions!$C$4:$E$4,0))*INDEX(Assumptions!$C$18:$E$18,1,MATCH($A6,Assumptions!$C$4:$E$4,0))-'COGS Matrix'!$J$13)/1000000)*'COGS Matrix'!$I$13</f>
        <v>5</v>
      </c>
      <c r="AB6" s="16">
        <f>MAX(0,CEILING($B6*INDEX(Assumptions!$C$7:$E$7,1,MATCH($A6,Assumptions!$C$4:$E$4,0)),1)-'COGS Matrix'!$J$14)*'COGS Matrix'!$I$14+MAX(0,CEILING($Y6/1000000,1)-'COGS Matrix'!$J$15/1000000)*'COGS Matrix'!$I$15+MAX(0,CEILING($Z6/1000000,1)-'COGS Matrix'!$J$16/1000000)*'COGS Matrix'!$I$16</f>
        <v>0.6</v>
      </c>
      <c r="AC6" s="16">
        <f>IF($G6="BYO",0,IF($G6="Shared",1,IF($G6="Dedicated",$C6,0))*'COGS Matrix'!$I$17+IF($G6="Shared",1,IF($G6="Dedicated",$C6,0))*MAX(0,MAX(IF($Y6&lt;20000000,10,IF($Y6&lt;100000000,15,IF($Y6&lt;500000000,60,111))),IF($J6=1,15,0))-10)+MAX(0,$B6*INDEX(Assumptions!$C$8:$E$8,1,MATCH($A6,Assumptions!$C$4:$E$4,0))-8*IF($G6="Shared",1,IF($G6="Dedicated",$C6,0)))*'COGS Matrix'!$I$19+MAX(0,$B6*INDEX(Assumptions!$C$9:$E$9,1,MATCH($A6,Assumptions!$C$4:$E$4,0))-250*IF($G6="Shared",1,IF($G6="Dedicated",$C6,0)))*'COGS Matrix'!$I$20+$J6*730*IF($G6="Shared",1,IF($G6="Dedicated",$C6,0))*'COGS Matrix'!$I$21)</f>
        <v>25</v>
      </c>
      <c r="AD6" s="16">
        <f>IF(ROUNDUP($C6*$D6*INDEX(Assumptions!$C$20:$E$20,1,MATCH($A6,Assumptions!$C$4:$E$4,0)),0)=0,0,'COGS Matrix'!$I$24+MAX(0,ROUNDUP($C6*$D6*INDEX(Assumptions!$C$20:$E$20,1,MATCH($A6,Assumptions!$C$4:$E$4,0)),0)-'COGS Matrix'!$J$24))</f>
        <v>0</v>
      </c>
      <c r="AE6" s="16">
        <f>IF($F6="None",0,$B6*IF($F6="None",0,IF($F6="Minimal",INDEX(Assumptions!$C$22:$E$22,1,MATCH($A6,Assumptions!$C$4:$E$4,0)),IF($F6="Standard",INDEX(Assumptions!$C$23:$E$23,1,MATCH($A6,Assumptions!$C$4:$E$4,0)),INDEX(Assumptions!$C$24:$E$24,1,MATCH($A6,Assumptions!$C$4:$E$4,0)))))*INDEX(Assumptions!$C$25:$E$25,1,MATCH($A6,Assumptions!$C$4:$E$4,0))/1000000*IF($F6="Minimal",INDEX(Assumptions!$C$27:$E$27,1,MATCH($A6,Assumptions!$C$4:$E$4,0)),IF($F6="Standard",INDEX(Assumptions!$C$29:$E$29,1,MATCH($A6,Assumptions!$C$4:$E$4,0)),INDEX(Assumptions!$C$31:$E$31,1,MATCH($A6,Assumptions!$C$4:$E$4,0))))+$B6*IF($F6="None",0,IF($F6="Minimal",INDEX(Assumptions!$C$22:$E$22,1,MATCH($A6,Assumptions!$C$4:$E$4,0)),IF($F6="Standard",INDEX(Assumptions!$C$23:$E$23,1,MATCH($A6,Assumptions!$C$4:$E$4,0)),INDEX(Assumptions!$C$24:$E$24,1,MATCH($A6,Assumptions!$C$4:$E$4,0)))))*INDEX(Assumptions!$C$26:$E$26,1,MATCH($A6,Assumptions!$C$4:$E$4,0))/1000000*IF($F6="Minimal",INDEX(Assumptions!$C$28:$E$28,1,MATCH($A6,Assumptions!$C$4:$E$4,0)),IF($F6="Standard",INDEX(Assumptions!$C$30:$E$30,1,MATCH($A6,Assumptions!$C$4:$E$4,0)),INDEX(Assumptions!$C$32:$E$32,1,MATCH($A6,Assumptions!$C$4:$E$4,0))))+$B6*INDEX(Assumptions!$C$33:$E$33,1,MATCH($A6,Assumptions!$C$4:$E$4,0))*INDEX(Assumptions!$C$34:$E$34,1,MATCH($A6,Assumptions!$C$4:$E$4,0)))</f>
        <v>5.5750000000000002</v>
      </c>
      <c r="AF6" s="16">
        <f>INDEX(Assumptions!$C$19:$E$19,1,MATCH($A6,Assumptions!$C$4:$E$4,0))</f>
        <v>0</v>
      </c>
      <c r="AG6" s="16">
        <f>$C6*$I6*'COGS Matrix'!$I$30</f>
        <v>0</v>
      </c>
      <c r="AH6" s="16">
        <f>IF($A6="High",'COGS Matrix'!$I$31+IF($F6="Heavy",199,'COGS Matrix'!$I$32),0)</f>
        <v>0</v>
      </c>
      <c r="AI6" s="16">
        <f t="shared" si="7"/>
        <v>36.175000000000004</v>
      </c>
      <c r="AJ6" s="16">
        <f>$AI6*(1+INDEX(Assumptions!$C$44:$E$44,1,MATCH($A6,Assumptions!$C$4:$E$4,0)))*(1+INDEX(Assumptions!$C$45:$E$45,1,MATCH($A6,Assumptions!$C$4:$E$4,0)))</f>
        <v>49.921500000000002</v>
      </c>
      <c r="AK6" s="16">
        <f>0</f>
        <v>0</v>
      </c>
      <c r="AL6" s="16">
        <f t="shared" si="8"/>
        <v>1445</v>
      </c>
      <c r="AM6" s="16">
        <f>0</f>
        <v>0</v>
      </c>
    </row>
    <row r="7" spans="1:39" x14ac:dyDescent="0.35">
      <c r="A7" s="2" t="s">
        <v>5</v>
      </c>
      <c r="B7" s="2">
        <v>25</v>
      </c>
      <c r="C7" s="2">
        <v>20</v>
      </c>
      <c r="D7" s="2">
        <v>6</v>
      </c>
      <c r="E7" s="2" t="s">
        <v>490</v>
      </c>
      <c r="F7" s="2" t="s">
        <v>1132</v>
      </c>
      <c r="G7" s="2" t="s">
        <v>535</v>
      </c>
      <c r="H7" s="2" t="s">
        <v>683</v>
      </c>
      <c r="I7" s="2">
        <v>0</v>
      </c>
      <c r="J7" s="2">
        <v>0</v>
      </c>
      <c r="K7" s="11">
        <v>249</v>
      </c>
      <c r="L7" s="11">
        <v>8</v>
      </c>
      <c r="M7" s="15">
        <f t="shared" si="0"/>
        <v>49.921500000000002</v>
      </c>
      <c r="N7" s="15">
        <f>0</f>
        <v>0</v>
      </c>
      <c r="O7" s="15">
        <f t="shared" si="1"/>
        <v>49.921500000000002</v>
      </c>
      <c r="P7" s="15">
        <f t="shared" si="2"/>
        <v>5180</v>
      </c>
      <c r="Q7" s="14">
        <f t="shared" si="3"/>
        <v>0.99036264478764469</v>
      </c>
      <c r="R7" s="14">
        <f t="shared" si="4"/>
        <v>0.99036264478764469</v>
      </c>
      <c r="S7" s="15">
        <f>M7/(1-INDEX(Assumptions!$C$46:$E$46,1,MATCH($A7,Assumptions!$C$4:$E$4,0)))</f>
        <v>249.60750000000007</v>
      </c>
      <c r="T7" s="15">
        <f t="shared" si="5"/>
        <v>1.9968600000000001</v>
      </c>
      <c r="U7" s="15">
        <f t="shared" si="6"/>
        <v>2.4960750000000003</v>
      </c>
      <c r="V7" s="15">
        <f>0</f>
        <v>0</v>
      </c>
      <c r="W7" s="15">
        <f>0</f>
        <v>0</v>
      </c>
      <c r="Y7" s="16">
        <f>$B7*$D7*INDEX(Assumptions!$C$10:$E$10,1,MATCH($A7,Assumptions!$C$4:$E$4,0))*IF($E7="Economical",INDEX(Assumptions!$C$13:$E$13,1,MATCH($A7,Assumptions!$C$4:$E$4,0)),IF($E7="Base incremental",INDEX(Assumptions!$C$14:$E$14,1,MATCH($A7,Assumptions!$C$4:$E$4,0)),INDEX(Assumptions!$C$15:$E$15,1,MATCH($A7,Assumptions!$C$4:$E$4,0))))*30*INDEX(Assumptions!$C$11:$E$11,1,MATCH($A7,Assumptions!$C$4:$E$4,0))</f>
        <v>450000</v>
      </c>
      <c r="Z7" s="16">
        <f>$Y7/INDEX(Assumptions!$C$12:$E$12,1,MATCH($A7,Assumptions!$C$4:$E$4,0))+$C7*INDEX(Assumptions!$C$6:$E$6,1,MATCH($A7,Assumptions!$C$4:$E$4,0))*300</f>
        <v>52500</v>
      </c>
      <c r="AA7" s="16">
        <f>'COGS Matrix'!$I$9+MAX(0,($Z7-'COGS Matrix'!$J$10)/1000000)*'COGS Matrix'!$I$10+MAX(0,($Z7*INDEX(Assumptions!$C$16:$E$16,1,MATCH($A7,Assumptions!$C$4:$E$4,0))-'COGS Matrix'!$J$11)/1000000)*'COGS Matrix'!$I$11+MAX(0,($B7*$D7*IF($E7="Economical",INDEX(Assumptions!$C$13:$E$13,1,MATCH($A7,Assumptions!$C$4:$E$4,0)),IF($E7="Base incremental",INDEX(Assumptions!$C$14:$E$14,1,MATCH($A7,Assumptions!$C$4:$E$4,0)),INDEX(Assumptions!$C$15:$E$15,1,MATCH($A7,Assumptions!$C$4:$E$4,0))))*30*3-'COGS Matrix'!$J$12)/1000000)*'COGS Matrix'!$I$12+MAX(0,($Z7*INDEX(Assumptions!$C$17:$E$17,1,MATCH($A7,Assumptions!$C$4:$E$4,0))*INDEX(Assumptions!$C$18:$E$18,1,MATCH($A7,Assumptions!$C$4:$E$4,0))-'COGS Matrix'!$J$13)/1000000)*'COGS Matrix'!$I$13</f>
        <v>5</v>
      </c>
      <c r="AB7" s="16">
        <f>MAX(0,CEILING($B7*INDEX(Assumptions!$C$7:$E$7,1,MATCH($A7,Assumptions!$C$4:$E$4,0)),1)-'COGS Matrix'!$J$14)*'COGS Matrix'!$I$14+MAX(0,CEILING($Y7/1000000,1)-'COGS Matrix'!$J$15/1000000)*'COGS Matrix'!$I$15+MAX(0,CEILING($Z7/1000000,1)-'COGS Matrix'!$J$16/1000000)*'COGS Matrix'!$I$16</f>
        <v>0.6</v>
      </c>
      <c r="AC7" s="16">
        <f>IF($G7="BYO",0,IF($G7="Shared",1,IF($G7="Dedicated",$C7,0))*'COGS Matrix'!$I$17+IF($G7="Shared",1,IF($G7="Dedicated",$C7,0))*MAX(0,MAX(IF($Y7&lt;20000000,10,IF($Y7&lt;100000000,15,IF($Y7&lt;500000000,60,111))),IF($J7=1,15,0))-10)+MAX(0,$B7*INDEX(Assumptions!$C$8:$E$8,1,MATCH($A7,Assumptions!$C$4:$E$4,0))-8*IF($G7="Shared",1,IF($G7="Dedicated",$C7,0)))*'COGS Matrix'!$I$19+MAX(0,$B7*INDEX(Assumptions!$C$9:$E$9,1,MATCH($A7,Assumptions!$C$4:$E$4,0))-250*IF($G7="Shared",1,IF($G7="Dedicated",$C7,0)))*'COGS Matrix'!$I$20+$J7*730*IF($G7="Shared",1,IF($G7="Dedicated",$C7,0))*'COGS Matrix'!$I$21)</f>
        <v>25</v>
      </c>
      <c r="AD7" s="16">
        <f>IF(ROUNDUP($C7*$D7*INDEX(Assumptions!$C$20:$E$20,1,MATCH($A7,Assumptions!$C$4:$E$4,0)),0)=0,0,'COGS Matrix'!$I$24+MAX(0,ROUNDUP($C7*$D7*INDEX(Assumptions!$C$20:$E$20,1,MATCH($A7,Assumptions!$C$4:$E$4,0)),0)-'COGS Matrix'!$J$24))</f>
        <v>0</v>
      </c>
      <c r="AE7" s="16">
        <f>IF($F7="None",0,$B7*IF($F7="None",0,IF($F7="Minimal",INDEX(Assumptions!$C$22:$E$22,1,MATCH($A7,Assumptions!$C$4:$E$4,0)),IF($F7="Standard",INDEX(Assumptions!$C$23:$E$23,1,MATCH($A7,Assumptions!$C$4:$E$4,0)),INDEX(Assumptions!$C$24:$E$24,1,MATCH($A7,Assumptions!$C$4:$E$4,0)))))*INDEX(Assumptions!$C$25:$E$25,1,MATCH($A7,Assumptions!$C$4:$E$4,0))/1000000*IF($F7="Minimal",INDEX(Assumptions!$C$27:$E$27,1,MATCH($A7,Assumptions!$C$4:$E$4,0)),IF($F7="Standard",INDEX(Assumptions!$C$29:$E$29,1,MATCH($A7,Assumptions!$C$4:$E$4,0)),INDEX(Assumptions!$C$31:$E$31,1,MATCH($A7,Assumptions!$C$4:$E$4,0))))+$B7*IF($F7="None",0,IF($F7="Minimal",INDEX(Assumptions!$C$22:$E$22,1,MATCH($A7,Assumptions!$C$4:$E$4,0)),IF($F7="Standard",INDEX(Assumptions!$C$23:$E$23,1,MATCH($A7,Assumptions!$C$4:$E$4,0)),INDEX(Assumptions!$C$24:$E$24,1,MATCH($A7,Assumptions!$C$4:$E$4,0)))))*INDEX(Assumptions!$C$26:$E$26,1,MATCH($A7,Assumptions!$C$4:$E$4,0))/1000000*IF($F7="Minimal",INDEX(Assumptions!$C$28:$E$28,1,MATCH($A7,Assumptions!$C$4:$E$4,0)),IF($F7="Standard",INDEX(Assumptions!$C$30:$E$30,1,MATCH($A7,Assumptions!$C$4:$E$4,0)),INDEX(Assumptions!$C$32:$E$32,1,MATCH($A7,Assumptions!$C$4:$E$4,0))))+$B7*INDEX(Assumptions!$C$33:$E$33,1,MATCH($A7,Assumptions!$C$4:$E$4,0))*INDEX(Assumptions!$C$34:$E$34,1,MATCH($A7,Assumptions!$C$4:$E$4,0)))</f>
        <v>5.5750000000000002</v>
      </c>
      <c r="AF7" s="16">
        <f>INDEX(Assumptions!$C$19:$E$19,1,MATCH($A7,Assumptions!$C$4:$E$4,0))</f>
        <v>0</v>
      </c>
      <c r="AG7" s="16">
        <f>$C7*$I7*'COGS Matrix'!$I$30</f>
        <v>0</v>
      </c>
      <c r="AH7" s="16">
        <f>IF($A7="High",'COGS Matrix'!$I$31+IF($F7="Heavy",199,'COGS Matrix'!$I$32),0)</f>
        <v>0</v>
      </c>
      <c r="AI7" s="16">
        <f t="shared" si="7"/>
        <v>36.175000000000004</v>
      </c>
      <c r="AJ7" s="16">
        <f>$AI7*(1+INDEX(Assumptions!$C$44:$E$44,1,MATCH($A7,Assumptions!$C$4:$E$4,0)))*(1+INDEX(Assumptions!$C$45:$E$45,1,MATCH($A7,Assumptions!$C$4:$E$4,0)))</f>
        <v>49.921500000000002</v>
      </c>
      <c r="AK7" s="16">
        <f>0</f>
        <v>0</v>
      </c>
      <c r="AL7" s="16">
        <f t="shared" si="8"/>
        <v>5180</v>
      </c>
      <c r="AM7" s="16">
        <f>0</f>
        <v>0</v>
      </c>
    </row>
    <row r="8" spans="1:39" x14ac:dyDescent="0.35">
      <c r="A8" s="2" t="s">
        <v>5</v>
      </c>
      <c r="B8" s="2">
        <v>25</v>
      </c>
      <c r="C8" s="2">
        <v>100</v>
      </c>
      <c r="D8" s="2">
        <v>6</v>
      </c>
      <c r="E8" s="2" t="s">
        <v>490</v>
      </c>
      <c r="F8" s="2" t="s">
        <v>1132</v>
      </c>
      <c r="G8" s="2" t="s">
        <v>535</v>
      </c>
      <c r="H8" s="2" t="s">
        <v>683</v>
      </c>
      <c r="I8" s="2">
        <v>0</v>
      </c>
      <c r="J8" s="2">
        <v>0</v>
      </c>
      <c r="K8" s="11">
        <v>249</v>
      </c>
      <c r="L8" s="11">
        <v>8</v>
      </c>
      <c r="M8" s="15">
        <f t="shared" si="0"/>
        <v>49.921500000000002</v>
      </c>
      <c r="N8" s="15">
        <f>0</f>
        <v>0</v>
      </c>
      <c r="O8" s="15">
        <f t="shared" si="1"/>
        <v>49.921500000000002</v>
      </c>
      <c r="P8" s="15">
        <f t="shared" si="2"/>
        <v>25100</v>
      </c>
      <c r="Q8" s="14">
        <f t="shared" si="3"/>
        <v>0.99801109561752988</v>
      </c>
      <c r="R8" s="14">
        <f t="shared" si="4"/>
        <v>0.99801109561752988</v>
      </c>
      <c r="S8" s="15">
        <f>M8/(1-INDEX(Assumptions!$C$46:$E$46,1,MATCH($A8,Assumptions!$C$4:$E$4,0)))</f>
        <v>249.60750000000007</v>
      </c>
      <c r="T8" s="15">
        <f t="shared" si="5"/>
        <v>1.9968600000000001</v>
      </c>
      <c r="U8" s="15">
        <f t="shared" si="6"/>
        <v>0.49921500000000002</v>
      </c>
      <c r="V8" s="15">
        <f>0</f>
        <v>0</v>
      </c>
      <c r="W8" s="15">
        <f>0</f>
        <v>0</v>
      </c>
      <c r="Y8" s="16">
        <f>$B8*$D8*INDEX(Assumptions!$C$10:$E$10,1,MATCH($A8,Assumptions!$C$4:$E$4,0))*IF($E8="Economical",INDEX(Assumptions!$C$13:$E$13,1,MATCH($A8,Assumptions!$C$4:$E$4,0)),IF($E8="Base incremental",INDEX(Assumptions!$C$14:$E$14,1,MATCH($A8,Assumptions!$C$4:$E$4,0)),INDEX(Assumptions!$C$15:$E$15,1,MATCH($A8,Assumptions!$C$4:$E$4,0))))*30*INDEX(Assumptions!$C$11:$E$11,1,MATCH($A8,Assumptions!$C$4:$E$4,0))</f>
        <v>450000</v>
      </c>
      <c r="Z8" s="16">
        <f>$Y8/INDEX(Assumptions!$C$12:$E$12,1,MATCH($A8,Assumptions!$C$4:$E$4,0))+$C8*INDEX(Assumptions!$C$6:$E$6,1,MATCH($A8,Assumptions!$C$4:$E$4,0))*300</f>
        <v>244500</v>
      </c>
      <c r="AA8" s="16">
        <f>'COGS Matrix'!$I$9+MAX(0,($Z8-'COGS Matrix'!$J$10)/1000000)*'COGS Matrix'!$I$10+MAX(0,($Z8*INDEX(Assumptions!$C$16:$E$16,1,MATCH($A8,Assumptions!$C$4:$E$4,0))-'COGS Matrix'!$J$11)/1000000)*'COGS Matrix'!$I$11+MAX(0,($B8*$D8*IF($E8="Economical",INDEX(Assumptions!$C$13:$E$13,1,MATCH($A8,Assumptions!$C$4:$E$4,0)),IF($E8="Base incremental",INDEX(Assumptions!$C$14:$E$14,1,MATCH($A8,Assumptions!$C$4:$E$4,0)),INDEX(Assumptions!$C$15:$E$15,1,MATCH($A8,Assumptions!$C$4:$E$4,0))))*30*3-'COGS Matrix'!$J$12)/1000000)*'COGS Matrix'!$I$12+MAX(0,($Z8*INDEX(Assumptions!$C$17:$E$17,1,MATCH($A8,Assumptions!$C$4:$E$4,0))*INDEX(Assumptions!$C$18:$E$18,1,MATCH($A8,Assumptions!$C$4:$E$4,0))-'COGS Matrix'!$J$13)/1000000)*'COGS Matrix'!$I$13</f>
        <v>5</v>
      </c>
      <c r="AB8" s="16">
        <f>MAX(0,CEILING($B8*INDEX(Assumptions!$C$7:$E$7,1,MATCH($A8,Assumptions!$C$4:$E$4,0)),1)-'COGS Matrix'!$J$14)*'COGS Matrix'!$I$14+MAX(0,CEILING($Y8/1000000,1)-'COGS Matrix'!$J$15/1000000)*'COGS Matrix'!$I$15+MAX(0,CEILING($Z8/1000000,1)-'COGS Matrix'!$J$16/1000000)*'COGS Matrix'!$I$16</f>
        <v>0.6</v>
      </c>
      <c r="AC8" s="16">
        <f>IF($G8="BYO",0,IF($G8="Shared",1,IF($G8="Dedicated",$C8,0))*'COGS Matrix'!$I$17+IF($G8="Shared",1,IF($G8="Dedicated",$C8,0))*MAX(0,MAX(IF($Y8&lt;20000000,10,IF($Y8&lt;100000000,15,IF($Y8&lt;500000000,60,111))),IF($J8=1,15,0))-10)+MAX(0,$B8*INDEX(Assumptions!$C$8:$E$8,1,MATCH($A8,Assumptions!$C$4:$E$4,0))-8*IF($G8="Shared",1,IF($G8="Dedicated",$C8,0)))*'COGS Matrix'!$I$19+MAX(0,$B8*INDEX(Assumptions!$C$9:$E$9,1,MATCH($A8,Assumptions!$C$4:$E$4,0))-250*IF($G8="Shared",1,IF($G8="Dedicated",$C8,0)))*'COGS Matrix'!$I$20+$J8*730*IF($G8="Shared",1,IF($G8="Dedicated",$C8,0))*'COGS Matrix'!$I$21)</f>
        <v>25</v>
      </c>
      <c r="AD8" s="16">
        <f>IF(ROUNDUP($C8*$D8*INDEX(Assumptions!$C$20:$E$20,1,MATCH($A8,Assumptions!$C$4:$E$4,0)),0)=0,0,'COGS Matrix'!$I$24+MAX(0,ROUNDUP($C8*$D8*INDEX(Assumptions!$C$20:$E$20,1,MATCH($A8,Assumptions!$C$4:$E$4,0)),0)-'COGS Matrix'!$J$24))</f>
        <v>0</v>
      </c>
      <c r="AE8" s="16">
        <f>IF($F8="None",0,$B8*IF($F8="None",0,IF($F8="Minimal",INDEX(Assumptions!$C$22:$E$22,1,MATCH($A8,Assumptions!$C$4:$E$4,0)),IF($F8="Standard",INDEX(Assumptions!$C$23:$E$23,1,MATCH($A8,Assumptions!$C$4:$E$4,0)),INDEX(Assumptions!$C$24:$E$24,1,MATCH($A8,Assumptions!$C$4:$E$4,0)))))*INDEX(Assumptions!$C$25:$E$25,1,MATCH($A8,Assumptions!$C$4:$E$4,0))/1000000*IF($F8="Minimal",INDEX(Assumptions!$C$27:$E$27,1,MATCH($A8,Assumptions!$C$4:$E$4,0)),IF($F8="Standard",INDEX(Assumptions!$C$29:$E$29,1,MATCH($A8,Assumptions!$C$4:$E$4,0)),INDEX(Assumptions!$C$31:$E$31,1,MATCH($A8,Assumptions!$C$4:$E$4,0))))+$B8*IF($F8="None",0,IF($F8="Minimal",INDEX(Assumptions!$C$22:$E$22,1,MATCH($A8,Assumptions!$C$4:$E$4,0)),IF($F8="Standard",INDEX(Assumptions!$C$23:$E$23,1,MATCH($A8,Assumptions!$C$4:$E$4,0)),INDEX(Assumptions!$C$24:$E$24,1,MATCH($A8,Assumptions!$C$4:$E$4,0)))))*INDEX(Assumptions!$C$26:$E$26,1,MATCH($A8,Assumptions!$C$4:$E$4,0))/1000000*IF($F8="Minimal",INDEX(Assumptions!$C$28:$E$28,1,MATCH($A8,Assumptions!$C$4:$E$4,0)),IF($F8="Standard",INDEX(Assumptions!$C$30:$E$30,1,MATCH($A8,Assumptions!$C$4:$E$4,0)),INDEX(Assumptions!$C$32:$E$32,1,MATCH($A8,Assumptions!$C$4:$E$4,0))))+$B8*INDEX(Assumptions!$C$33:$E$33,1,MATCH($A8,Assumptions!$C$4:$E$4,0))*INDEX(Assumptions!$C$34:$E$34,1,MATCH($A8,Assumptions!$C$4:$E$4,0)))</f>
        <v>5.5750000000000002</v>
      </c>
      <c r="AF8" s="16">
        <f>INDEX(Assumptions!$C$19:$E$19,1,MATCH($A8,Assumptions!$C$4:$E$4,0))</f>
        <v>0</v>
      </c>
      <c r="AG8" s="16">
        <f>$C8*$I8*'COGS Matrix'!$I$30</f>
        <v>0</v>
      </c>
      <c r="AH8" s="16">
        <f>IF($A8="High",'COGS Matrix'!$I$31+IF($F8="Heavy",199,'COGS Matrix'!$I$32),0)</f>
        <v>0</v>
      </c>
      <c r="AI8" s="16">
        <f t="shared" si="7"/>
        <v>36.175000000000004</v>
      </c>
      <c r="AJ8" s="16">
        <f>$AI8*(1+INDEX(Assumptions!$C$44:$E$44,1,MATCH($A8,Assumptions!$C$4:$E$4,0)))*(1+INDEX(Assumptions!$C$45:$E$45,1,MATCH($A8,Assumptions!$C$4:$E$4,0)))</f>
        <v>49.921500000000002</v>
      </c>
      <c r="AK8" s="16">
        <f>0</f>
        <v>0</v>
      </c>
      <c r="AL8" s="16">
        <f t="shared" si="8"/>
        <v>25100</v>
      </c>
      <c r="AM8" s="16">
        <f>0</f>
        <v>0</v>
      </c>
    </row>
    <row r="9" spans="1:39" x14ac:dyDescent="0.35">
      <c r="A9" s="2" t="s">
        <v>5</v>
      </c>
      <c r="B9" s="2">
        <v>100</v>
      </c>
      <c r="C9" s="2">
        <v>1</v>
      </c>
      <c r="D9" s="2">
        <v>6</v>
      </c>
      <c r="E9" s="2" t="s">
        <v>490</v>
      </c>
      <c r="F9" s="2" t="s">
        <v>1132</v>
      </c>
      <c r="G9" s="2" t="s">
        <v>535</v>
      </c>
      <c r="H9" s="2" t="s">
        <v>683</v>
      </c>
      <c r="I9" s="2">
        <v>0</v>
      </c>
      <c r="J9" s="2">
        <v>0</v>
      </c>
      <c r="K9" s="11">
        <v>249</v>
      </c>
      <c r="L9" s="11">
        <v>8</v>
      </c>
      <c r="M9" s="15">
        <f t="shared" si="0"/>
        <v>82.316999999999993</v>
      </c>
      <c r="N9" s="15">
        <f>0</f>
        <v>0</v>
      </c>
      <c r="O9" s="15">
        <f t="shared" si="1"/>
        <v>82.316999999999993</v>
      </c>
      <c r="P9" s="15">
        <f t="shared" si="2"/>
        <v>1049</v>
      </c>
      <c r="Q9" s="14">
        <f t="shared" si="3"/>
        <v>0.92152812202097234</v>
      </c>
      <c r="R9" s="14">
        <f t="shared" si="4"/>
        <v>0.92152812202097234</v>
      </c>
      <c r="S9" s="15">
        <f>M9/(1-INDEX(Assumptions!$C$46:$E$46,1,MATCH($A9,Assumptions!$C$4:$E$4,0)))</f>
        <v>411.58500000000004</v>
      </c>
      <c r="T9" s="15">
        <f t="shared" si="5"/>
        <v>0.82316999999999996</v>
      </c>
      <c r="U9" s="15">
        <f t="shared" si="6"/>
        <v>82.316999999999993</v>
      </c>
      <c r="V9" s="15">
        <f>0</f>
        <v>0</v>
      </c>
      <c r="W9" s="15">
        <f>0</f>
        <v>0</v>
      </c>
      <c r="Y9" s="16">
        <f>$B9*$D9*INDEX(Assumptions!$C$10:$E$10,1,MATCH($A9,Assumptions!$C$4:$E$4,0))*IF($E9="Economical",INDEX(Assumptions!$C$13:$E$13,1,MATCH($A9,Assumptions!$C$4:$E$4,0)),IF($E9="Base incremental",INDEX(Assumptions!$C$14:$E$14,1,MATCH($A9,Assumptions!$C$4:$E$4,0)),INDEX(Assumptions!$C$15:$E$15,1,MATCH($A9,Assumptions!$C$4:$E$4,0))))*30*INDEX(Assumptions!$C$11:$E$11,1,MATCH($A9,Assumptions!$C$4:$E$4,0))</f>
        <v>1800000</v>
      </c>
      <c r="Z9" s="16">
        <f>$Y9/INDEX(Assumptions!$C$12:$E$12,1,MATCH($A9,Assumptions!$C$4:$E$4,0))+$C9*INDEX(Assumptions!$C$6:$E$6,1,MATCH($A9,Assumptions!$C$4:$E$4,0))*300</f>
        <v>20400</v>
      </c>
      <c r="AA9" s="16">
        <f>'COGS Matrix'!$I$9+MAX(0,($Z9-'COGS Matrix'!$J$10)/1000000)*'COGS Matrix'!$I$10+MAX(0,($Z9*INDEX(Assumptions!$C$16:$E$16,1,MATCH($A9,Assumptions!$C$4:$E$4,0))-'COGS Matrix'!$J$11)/1000000)*'COGS Matrix'!$I$11+MAX(0,($B9*$D9*IF($E9="Economical",INDEX(Assumptions!$C$13:$E$13,1,MATCH($A9,Assumptions!$C$4:$E$4,0)),IF($E9="Base incremental",INDEX(Assumptions!$C$14:$E$14,1,MATCH($A9,Assumptions!$C$4:$E$4,0)),INDEX(Assumptions!$C$15:$E$15,1,MATCH($A9,Assumptions!$C$4:$E$4,0))))*30*3-'COGS Matrix'!$J$12)/1000000)*'COGS Matrix'!$I$12+MAX(0,($Z9*INDEX(Assumptions!$C$17:$E$17,1,MATCH($A9,Assumptions!$C$4:$E$4,0))*INDEX(Assumptions!$C$18:$E$18,1,MATCH($A9,Assumptions!$C$4:$E$4,0))-'COGS Matrix'!$J$13)/1000000)*'COGS Matrix'!$I$13</f>
        <v>5</v>
      </c>
      <c r="AB9" s="16">
        <f>MAX(0,CEILING($B9*INDEX(Assumptions!$C$7:$E$7,1,MATCH($A9,Assumptions!$C$4:$E$4,0)),1)-'COGS Matrix'!$J$14)*'COGS Matrix'!$I$14+MAX(0,CEILING($Y9/1000000,1)-'COGS Matrix'!$J$15/1000000)*'COGS Matrix'!$I$15+MAX(0,CEILING($Z9/1000000,1)-'COGS Matrix'!$J$16/1000000)*'COGS Matrix'!$I$16</f>
        <v>7.35</v>
      </c>
      <c r="AC9" s="16">
        <f>IF($G9="BYO",0,IF($G9="Shared",1,IF($G9="Dedicated",$C9,0))*'COGS Matrix'!$I$17+IF($G9="Shared",1,IF($G9="Dedicated",$C9,0))*MAX(0,MAX(IF($Y9&lt;20000000,10,IF($Y9&lt;100000000,15,IF($Y9&lt;500000000,60,111))),IF($J9=1,15,0))-10)+MAX(0,$B9*INDEX(Assumptions!$C$8:$E$8,1,MATCH($A9,Assumptions!$C$4:$E$4,0))-8*IF($G9="Shared",1,IF($G9="Dedicated",$C9,0)))*'COGS Matrix'!$I$19+MAX(0,$B9*INDEX(Assumptions!$C$9:$E$9,1,MATCH($A9,Assumptions!$C$4:$E$4,0))-250*IF($G9="Shared",1,IF($G9="Dedicated",$C9,0)))*'COGS Matrix'!$I$20+$J9*730*IF($G9="Shared",1,IF($G9="Dedicated",$C9,0))*'COGS Matrix'!$I$21)</f>
        <v>25</v>
      </c>
      <c r="AD9" s="16">
        <f>IF(ROUNDUP($C9*$D9*INDEX(Assumptions!$C$20:$E$20,1,MATCH($A9,Assumptions!$C$4:$E$4,0)),0)=0,0,'COGS Matrix'!$I$24+MAX(0,ROUNDUP($C9*$D9*INDEX(Assumptions!$C$20:$E$20,1,MATCH($A9,Assumptions!$C$4:$E$4,0)),0)-'COGS Matrix'!$J$24))</f>
        <v>0</v>
      </c>
      <c r="AE9" s="16">
        <f>IF($F9="None",0,$B9*IF($F9="None",0,IF($F9="Minimal",INDEX(Assumptions!$C$22:$E$22,1,MATCH($A9,Assumptions!$C$4:$E$4,0)),IF($F9="Standard",INDEX(Assumptions!$C$23:$E$23,1,MATCH($A9,Assumptions!$C$4:$E$4,0)),INDEX(Assumptions!$C$24:$E$24,1,MATCH($A9,Assumptions!$C$4:$E$4,0)))))*INDEX(Assumptions!$C$25:$E$25,1,MATCH($A9,Assumptions!$C$4:$E$4,0))/1000000*IF($F9="Minimal",INDEX(Assumptions!$C$27:$E$27,1,MATCH($A9,Assumptions!$C$4:$E$4,0)),IF($F9="Standard",INDEX(Assumptions!$C$29:$E$29,1,MATCH($A9,Assumptions!$C$4:$E$4,0)),INDEX(Assumptions!$C$31:$E$31,1,MATCH($A9,Assumptions!$C$4:$E$4,0))))+$B9*IF($F9="None",0,IF($F9="Minimal",INDEX(Assumptions!$C$22:$E$22,1,MATCH($A9,Assumptions!$C$4:$E$4,0)),IF($F9="Standard",INDEX(Assumptions!$C$23:$E$23,1,MATCH($A9,Assumptions!$C$4:$E$4,0)),INDEX(Assumptions!$C$24:$E$24,1,MATCH($A9,Assumptions!$C$4:$E$4,0)))))*INDEX(Assumptions!$C$26:$E$26,1,MATCH($A9,Assumptions!$C$4:$E$4,0))/1000000*IF($F9="Minimal",INDEX(Assumptions!$C$28:$E$28,1,MATCH($A9,Assumptions!$C$4:$E$4,0)),IF($F9="Standard",INDEX(Assumptions!$C$30:$E$30,1,MATCH($A9,Assumptions!$C$4:$E$4,0)),INDEX(Assumptions!$C$32:$E$32,1,MATCH($A9,Assumptions!$C$4:$E$4,0))))+$B9*INDEX(Assumptions!$C$33:$E$33,1,MATCH($A9,Assumptions!$C$4:$E$4,0))*INDEX(Assumptions!$C$34:$E$34,1,MATCH($A9,Assumptions!$C$4:$E$4,0)))</f>
        <v>22.3</v>
      </c>
      <c r="AF9" s="16">
        <f>INDEX(Assumptions!$C$19:$E$19,1,MATCH($A9,Assumptions!$C$4:$E$4,0))</f>
        <v>0</v>
      </c>
      <c r="AG9" s="16">
        <f>$C9*$I9*'COGS Matrix'!$I$30</f>
        <v>0</v>
      </c>
      <c r="AH9" s="16">
        <f>IF($A9="High",'COGS Matrix'!$I$31+IF($F9="Heavy",199,'COGS Matrix'!$I$32),0)</f>
        <v>0</v>
      </c>
      <c r="AI9" s="16">
        <f t="shared" si="7"/>
        <v>59.650000000000006</v>
      </c>
      <c r="AJ9" s="16">
        <f>$AI9*(1+INDEX(Assumptions!$C$44:$E$44,1,MATCH($A9,Assumptions!$C$4:$E$4,0)))*(1+INDEX(Assumptions!$C$45:$E$45,1,MATCH($A9,Assumptions!$C$4:$E$4,0)))</f>
        <v>82.316999999999993</v>
      </c>
      <c r="AK9" s="16">
        <f>0</f>
        <v>0</v>
      </c>
      <c r="AL9" s="16">
        <f t="shared" si="8"/>
        <v>1049</v>
      </c>
      <c r="AM9" s="16">
        <f>0</f>
        <v>0</v>
      </c>
    </row>
    <row r="10" spans="1:39" x14ac:dyDescent="0.35">
      <c r="A10" s="2" t="s">
        <v>5</v>
      </c>
      <c r="B10" s="2">
        <v>100</v>
      </c>
      <c r="C10" s="2">
        <v>5</v>
      </c>
      <c r="D10" s="2">
        <v>6</v>
      </c>
      <c r="E10" s="2" t="s">
        <v>490</v>
      </c>
      <c r="F10" s="2" t="s">
        <v>1132</v>
      </c>
      <c r="G10" s="2" t="s">
        <v>535</v>
      </c>
      <c r="H10" s="2" t="s">
        <v>683</v>
      </c>
      <c r="I10" s="2">
        <v>0</v>
      </c>
      <c r="J10" s="2">
        <v>0</v>
      </c>
      <c r="K10" s="11">
        <v>249</v>
      </c>
      <c r="L10" s="11">
        <v>8</v>
      </c>
      <c r="M10" s="15">
        <f t="shared" si="0"/>
        <v>82.316999999999993</v>
      </c>
      <c r="N10" s="15">
        <f>0</f>
        <v>0</v>
      </c>
      <c r="O10" s="15">
        <f t="shared" si="1"/>
        <v>82.316999999999993</v>
      </c>
      <c r="P10" s="15">
        <f t="shared" si="2"/>
        <v>2045</v>
      </c>
      <c r="Q10" s="14">
        <f t="shared" si="3"/>
        <v>0.95974718826405869</v>
      </c>
      <c r="R10" s="14">
        <f t="shared" si="4"/>
        <v>0.95974718826405869</v>
      </c>
      <c r="S10" s="15">
        <f>M10/(1-INDEX(Assumptions!$C$46:$E$46,1,MATCH($A10,Assumptions!$C$4:$E$4,0)))</f>
        <v>411.58500000000004</v>
      </c>
      <c r="T10" s="15">
        <f t="shared" si="5"/>
        <v>0.82316999999999996</v>
      </c>
      <c r="U10" s="15">
        <f t="shared" si="6"/>
        <v>16.4634</v>
      </c>
      <c r="V10" s="15">
        <f>0</f>
        <v>0</v>
      </c>
      <c r="W10" s="15">
        <f>0</f>
        <v>0</v>
      </c>
      <c r="Y10" s="16">
        <f>$B10*$D10*INDEX(Assumptions!$C$10:$E$10,1,MATCH($A10,Assumptions!$C$4:$E$4,0))*IF($E10="Economical",INDEX(Assumptions!$C$13:$E$13,1,MATCH($A10,Assumptions!$C$4:$E$4,0)),IF($E10="Base incremental",INDEX(Assumptions!$C$14:$E$14,1,MATCH($A10,Assumptions!$C$4:$E$4,0)),INDEX(Assumptions!$C$15:$E$15,1,MATCH($A10,Assumptions!$C$4:$E$4,0))))*30*INDEX(Assumptions!$C$11:$E$11,1,MATCH($A10,Assumptions!$C$4:$E$4,0))</f>
        <v>1800000</v>
      </c>
      <c r="Z10" s="16">
        <f>$Y10/INDEX(Assumptions!$C$12:$E$12,1,MATCH($A10,Assumptions!$C$4:$E$4,0))+$C10*INDEX(Assumptions!$C$6:$E$6,1,MATCH($A10,Assumptions!$C$4:$E$4,0))*300</f>
        <v>30000</v>
      </c>
      <c r="AA10" s="16">
        <f>'COGS Matrix'!$I$9+MAX(0,($Z10-'COGS Matrix'!$J$10)/1000000)*'COGS Matrix'!$I$10+MAX(0,($Z10*INDEX(Assumptions!$C$16:$E$16,1,MATCH($A10,Assumptions!$C$4:$E$4,0))-'COGS Matrix'!$J$11)/1000000)*'COGS Matrix'!$I$11+MAX(0,($B10*$D10*IF($E10="Economical",INDEX(Assumptions!$C$13:$E$13,1,MATCH($A10,Assumptions!$C$4:$E$4,0)),IF($E10="Base incremental",INDEX(Assumptions!$C$14:$E$14,1,MATCH($A10,Assumptions!$C$4:$E$4,0)),INDEX(Assumptions!$C$15:$E$15,1,MATCH($A10,Assumptions!$C$4:$E$4,0))))*30*3-'COGS Matrix'!$J$12)/1000000)*'COGS Matrix'!$I$12+MAX(0,($Z10*INDEX(Assumptions!$C$17:$E$17,1,MATCH($A10,Assumptions!$C$4:$E$4,0))*INDEX(Assumptions!$C$18:$E$18,1,MATCH($A10,Assumptions!$C$4:$E$4,0))-'COGS Matrix'!$J$13)/1000000)*'COGS Matrix'!$I$13</f>
        <v>5</v>
      </c>
      <c r="AB10" s="16">
        <f>MAX(0,CEILING($B10*INDEX(Assumptions!$C$7:$E$7,1,MATCH($A10,Assumptions!$C$4:$E$4,0)),1)-'COGS Matrix'!$J$14)*'COGS Matrix'!$I$14+MAX(0,CEILING($Y10/1000000,1)-'COGS Matrix'!$J$15/1000000)*'COGS Matrix'!$I$15+MAX(0,CEILING($Z10/1000000,1)-'COGS Matrix'!$J$16/1000000)*'COGS Matrix'!$I$16</f>
        <v>7.35</v>
      </c>
      <c r="AC10" s="16">
        <f>IF($G10="BYO",0,IF($G10="Shared",1,IF($G10="Dedicated",$C10,0))*'COGS Matrix'!$I$17+IF($G10="Shared",1,IF($G10="Dedicated",$C10,0))*MAX(0,MAX(IF($Y10&lt;20000000,10,IF($Y10&lt;100000000,15,IF($Y10&lt;500000000,60,111))),IF($J10=1,15,0))-10)+MAX(0,$B10*INDEX(Assumptions!$C$8:$E$8,1,MATCH($A10,Assumptions!$C$4:$E$4,0))-8*IF($G10="Shared",1,IF($G10="Dedicated",$C10,0)))*'COGS Matrix'!$I$19+MAX(0,$B10*INDEX(Assumptions!$C$9:$E$9,1,MATCH($A10,Assumptions!$C$4:$E$4,0))-250*IF($G10="Shared",1,IF($G10="Dedicated",$C10,0)))*'COGS Matrix'!$I$20+$J10*730*IF($G10="Shared",1,IF($G10="Dedicated",$C10,0))*'COGS Matrix'!$I$21)</f>
        <v>25</v>
      </c>
      <c r="AD10" s="16">
        <f>IF(ROUNDUP($C10*$D10*INDEX(Assumptions!$C$20:$E$20,1,MATCH($A10,Assumptions!$C$4:$E$4,0)),0)=0,0,'COGS Matrix'!$I$24+MAX(0,ROUNDUP($C10*$D10*INDEX(Assumptions!$C$20:$E$20,1,MATCH($A10,Assumptions!$C$4:$E$4,0)),0)-'COGS Matrix'!$J$24))</f>
        <v>0</v>
      </c>
      <c r="AE10" s="16">
        <f>IF($F10="None",0,$B10*IF($F10="None",0,IF($F10="Minimal",INDEX(Assumptions!$C$22:$E$22,1,MATCH($A10,Assumptions!$C$4:$E$4,0)),IF($F10="Standard",INDEX(Assumptions!$C$23:$E$23,1,MATCH($A10,Assumptions!$C$4:$E$4,0)),INDEX(Assumptions!$C$24:$E$24,1,MATCH($A10,Assumptions!$C$4:$E$4,0)))))*INDEX(Assumptions!$C$25:$E$25,1,MATCH($A10,Assumptions!$C$4:$E$4,0))/1000000*IF($F10="Minimal",INDEX(Assumptions!$C$27:$E$27,1,MATCH($A10,Assumptions!$C$4:$E$4,0)),IF($F10="Standard",INDEX(Assumptions!$C$29:$E$29,1,MATCH($A10,Assumptions!$C$4:$E$4,0)),INDEX(Assumptions!$C$31:$E$31,1,MATCH($A10,Assumptions!$C$4:$E$4,0))))+$B10*IF($F10="None",0,IF($F10="Minimal",INDEX(Assumptions!$C$22:$E$22,1,MATCH($A10,Assumptions!$C$4:$E$4,0)),IF($F10="Standard",INDEX(Assumptions!$C$23:$E$23,1,MATCH($A10,Assumptions!$C$4:$E$4,0)),INDEX(Assumptions!$C$24:$E$24,1,MATCH($A10,Assumptions!$C$4:$E$4,0)))))*INDEX(Assumptions!$C$26:$E$26,1,MATCH($A10,Assumptions!$C$4:$E$4,0))/1000000*IF($F10="Minimal",INDEX(Assumptions!$C$28:$E$28,1,MATCH($A10,Assumptions!$C$4:$E$4,0)),IF($F10="Standard",INDEX(Assumptions!$C$30:$E$30,1,MATCH($A10,Assumptions!$C$4:$E$4,0)),INDEX(Assumptions!$C$32:$E$32,1,MATCH($A10,Assumptions!$C$4:$E$4,0))))+$B10*INDEX(Assumptions!$C$33:$E$33,1,MATCH($A10,Assumptions!$C$4:$E$4,0))*INDEX(Assumptions!$C$34:$E$34,1,MATCH($A10,Assumptions!$C$4:$E$4,0)))</f>
        <v>22.3</v>
      </c>
      <c r="AF10" s="16">
        <f>INDEX(Assumptions!$C$19:$E$19,1,MATCH($A10,Assumptions!$C$4:$E$4,0))</f>
        <v>0</v>
      </c>
      <c r="AG10" s="16">
        <f>$C10*$I10*'COGS Matrix'!$I$30</f>
        <v>0</v>
      </c>
      <c r="AH10" s="16">
        <f>IF($A10="High",'COGS Matrix'!$I$31+IF($F10="Heavy",199,'COGS Matrix'!$I$32),0)</f>
        <v>0</v>
      </c>
      <c r="AI10" s="16">
        <f t="shared" si="7"/>
        <v>59.650000000000006</v>
      </c>
      <c r="AJ10" s="16">
        <f>$AI10*(1+INDEX(Assumptions!$C$44:$E$44,1,MATCH($A10,Assumptions!$C$4:$E$4,0)))*(1+INDEX(Assumptions!$C$45:$E$45,1,MATCH($A10,Assumptions!$C$4:$E$4,0)))</f>
        <v>82.316999999999993</v>
      </c>
      <c r="AK10" s="16">
        <f>0</f>
        <v>0</v>
      </c>
      <c r="AL10" s="16">
        <f t="shared" si="8"/>
        <v>2045</v>
      </c>
      <c r="AM10" s="16">
        <f>0</f>
        <v>0</v>
      </c>
    </row>
    <row r="11" spans="1:39" x14ac:dyDescent="0.35">
      <c r="A11" s="2" t="s">
        <v>5</v>
      </c>
      <c r="B11" s="2">
        <v>100</v>
      </c>
      <c r="C11" s="2">
        <v>20</v>
      </c>
      <c r="D11" s="2">
        <v>6</v>
      </c>
      <c r="E11" s="2" t="s">
        <v>490</v>
      </c>
      <c r="F11" s="2" t="s">
        <v>1132</v>
      </c>
      <c r="G11" s="2" t="s">
        <v>535</v>
      </c>
      <c r="H11" s="2" t="s">
        <v>683</v>
      </c>
      <c r="I11" s="2">
        <v>0</v>
      </c>
      <c r="J11" s="2">
        <v>0</v>
      </c>
      <c r="K11" s="11">
        <v>249</v>
      </c>
      <c r="L11" s="11">
        <v>8</v>
      </c>
      <c r="M11" s="15">
        <f t="shared" si="0"/>
        <v>82.316999999999993</v>
      </c>
      <c r="N11" s="15">
        <f>0</f>
        <v>0</v>
      </c>
      <c r="O11" s="15">
        <f t="shared" si="1"/>
        <v>82.316999999999993</v>
      </c>
      <c r="P11" s="15">
        <f t="shared" si="2"/>
        <v>5780</v>
      </c>
      <c r="Q11" s="14">
        <f t="shared" si="3"/>
        <v>0.98575830449826984</v>
      </c>
      <c r="R11" s="14">
        <f t="shared" si="4"/>
        <v>0.98575830449826984</v>
      </c>
      <c r="S11" s="15">
        <f>M11/(1-INDEX(Assumptions!$C$46:$E$46,1,MATCH($A11,Assumptions!$C$4:$E$4,0)))</f>
        <v>411.58500000000004</v>
      </c>
      <c r="T11" s="15">
        <f t="shared" si="5"/>
        <v>0.82316999999999996</v>
      </c>
      <c r="U11" s="15">
        <f t="shared" si="6"/>
        <v>4.11585</v>
      </c>
      <c r="V11" s="15">
        <f>0</f>
        <v>0</v>
      </c>
      <c r="W11" s="15">
        <f>0</f>
        <v>0</v>
      </c>
      <c r="Y11" s="16">
        <f>$B11*$D11*INDEX(Assumptions!$C$10:$E$10,1,MATCH($A11,Assumptions!$C$4:$E$4,0))*IF($E11="Economical",INDEX(Assumptions!$C$13:$E$13,1,MATCH($A11,Assumptions!$C$4:$E$4,0)),IF($E11="Base incremental",INDEX(Assumptions!$C$14:$E$14,1,MATCH($A11,Assumptions!$C$4:$E$4,0)),INDEX(Assumptions!$C$15:$E$15,1,MATCH($A11,Assumptions!$C$4:$E$4,0))))*30*INDEX(Assumptions!$C$11:$E$11,1,MATCH($A11,Assumptions!$C$4:$E$4,0))</f>
        <v>1800000</v>
      </c>
      <c r="Z11" s="16">
        <f>$Y11/INDEX(Assumptions!$C$12:$E$12,1,MATCH($A11,Assumptions!$C$4:$E$4,0))+$C11*INDEX(Assumptions!$C$6:$E$6,1,MATCH($A11,Assumptions!$C$4:$E$4,0))*300</f>
        <v>66000</v>
      </c>
      <c r="AA11" s="16">
        <f>'COGS Matrix'!$I$9+MAX(0,($Z11-'COGS Matrix'!$J$10)/1000000)*'COGS Matrix'!$I$10+MAX(0,($Z11*INDEX(Assumptions!$C$16:$E$16,1,MATCH($A11,Assumptions!$C$4:$E$4,0))-'COGS Matrix'!$J$11)/1000000)*'COGS Matrix'!$I$11+MAX(0,($B11*$D11*IF($E11="Economical",INDEX(Assumptions!$C$13:$E$13,1,MATCH($A11,Assumptions!$C$4:$E$4,0)),IF($E11="Base incremental",INDEX(Assumptions!$C$14:$E$14,1,MATCH($A11,Assumptions!$C$4:$E$4,0)),INDEX(Assumptions!$C$15:$E$15,1,MATCH($A11,Assumptions!$C$4:$E$4,0))))*30*3-'COGS Matrix'!$J$12)/1000000)*'COGS Matrix'!$I$12+MAX(0,($Z11*INDEX(Assumptions!$C$17:$E$17,1,MATCH($A11,Assumptions!$C$4:$E$4,0))*INDEX(Assumptions!$C$18:$E$18,1,MATCH($A11,Assumptions!$C$4:$E$4,0))-'COGS Matrix'!$J$13)/1000000)*'COGS Matrix'!$I$13</f>
        <v>5</v>
      </c>
      <c r="AB11" s="16">
        <f>MAX(0,CEILING($B11*INDEX(Assumptions!$C$7:$E$7,1,MATCH($A11,Assumptions!$C$4:$E$4,0)),1)-'COGS Matrix'!$J$14)*'COGS Matrix'!$I$14+MAX(0,CEILING($Y11/1000000,1)-'COGS Matrix'!$J$15/1000000)*'COGS Matrix'!$I$15+MAX(0,CEILING($Z11/1000000,1)-'COGS Matrix'!$J$16/1000000)*'COGS Matrix'!$I$16</f>
        <v>7.35</v>
      </c>
      <c r="AC11" s="16">
        <f>IF($G11="BYO",0,IF($G11="Shared",1,IF($G11="Dedicated",$C11,0))*'COGS Matrix'!$I$17+IF($G11="Shared",1,IF($G11="Dedicated",$C11,0))*MAX(0,MAX(IF($Y11&lt;20000000,10,IF($Y11&lt;100000000,15,IF($Y11&lt;500000000,60,111))),IF($J11=1,15,0))-10)+MAX(0,$B11*INDEX(Assumptions!$C$8:$E$8,1,MATCH($A11,Assumptions!$C$4:$E$4,0))-8*IF($G11="Shared",1,IF($G11="Dedicated",$C11,0)))*'COGS Matrix'!$I$19+MAX(0,$B11*INDEX(Assumptions!$C$9:$E$9,1,MATCH($A11,Assumptions!$C$4:$E$4,0))-250*IF($G11="Shared",1,IF($G11="Dedicated",$C11,0)))*'COGS Matrix'!$I$20+$J11*730*IF($G11="Shared",1,IF($G11="Dedicated",$C11,0))*'COGS Matrix'!$I$21)</f>
        <v>25</v>
      </c>
      <c r="AD11" s="16">
        <f>IF(ROUNDUP($C11*$D11*INDEX(Assumptions!$C$20:$E$20,1,MATCH($A11,Assumptions!$C$4:$E$4,0)),0)=0,0,'COGS Matrix'!$I$24+MAX(0,ROUNDUP($C11*$D11*INDEX(Assumptions!$C$20:$E$20,1,MATCH($A11,Assumptions!$C$4:$E$4,0)),0)-'COGS Matrix'!$J$24))</f>
        <v>0</v>
      </c>
      <c r="AE11" s="16">
        <f>IF($F11="None",0,$B11*IF($F11="None",0,IF($F11="Minimal",INDEX(Assumptions!$C$22:$E$22,1,MATCH($A11,Assumptions!$C$4:$E$4,0)),IF($F11="Standard",INDEX(Assumptions!$C$23:$E$23,1,MATCH($A11,Assumptions!$C$4:$E$4,0)),INDEX(Assumptions!$C$24:$E$24,1,MATCH($A11,Assumptions!$C$4:$E$4,0)))))*INDEX(Assumptions!$C$25:$E$25,1,MATCH($A11,Assumptions!$C$4:$E$4,0))/1000000*IF($F11="Minimal",INDEX(Assumptions!$C$27:$E$27,1,MATCH($A11,Assumptions!$C$4:$E$4,0)),IF($F11="Standard",INDEX(Assumptions!$C$29:$E$29,1,MATCH($A11,Assumptions!$C$4:$E$4,0)),INDEX(Assumptions!$C$31:$E$31,1,MATCH($A11,Assumptions!$C$4:$E$4,0))))+$B11*IF($F11="None",0,IF($F11="Minimal",INDEX(Assumptions!$C$22:$E$22,1,MATCH($A11,Assumptions!$C$4:$E$4,0)),IF($F11="Standard",INDEX(Assumptions!$C$23:$E$23,1,MATCH($A11,Assumptions!$C$4:$E$4,0)),INDEX(Assumptions!$C$24:$E$24,1,MATCH($A11,Assumptions!$C$4:$E$4,0)))))*INDEX(Assumptions!$C$26:$E$26,1,MATCH($A11,Assumptions!$C$4:$E$4,0))/1000000*IF($F11="Minimal",INDEX(Assumptions!$C$28:$E$28,1,MATCH($A11,Assumptions!$C$4:$E$4,0)),IF($F11="Standard",INDEX(Assumptions!$C$30:$E$30,1,MATCH($A11,Assumptions!$C$4:$E$4,0)),INDEX(Assumptions!$C$32:$E$32,1,MATCH($A11,Assumptions!$C$4:$E$4,0))))+$B11*INDEX(Assumptions!$C$33:$E$33,1,MATCH($A11,Assumptions!$C$4:$E$4,0))*INDEX(Assumptions!$C$34:$E$34,1,MATCH($A11,Assumptions!$C$4:$E$4,0)))</f>
        <v>22.3</v>
      </c>
      <c r="AF11" s="16">
        <f>INDEX(Assumptions!$C$19:$E$19,1,MATCH($A11,Assumptions!$C$4:$E$4,0))</f>
        <v>0</v>
      </c>
      <c r="AG11" s="16">
        <f>$C11*$I11*'COGS Matrix'!$I$30</f>
        <v>0</v>
      </c>
      <c r="AH11" s="16">
        <f>IF($A11="High",'COGS Matrix'!$I$31+IF($F11="Heavy",199,'COGS Matrix'!$I$32),0)</f>
        <v>0</v>
      </c>
      <c r="AI11" s="16">
        <f t="shared" si="7"/>
        <v>59.650000000000006</v>
      </c>
      <c r="AJ11" s="16">
        <f>$AI11*(1+INDEX(Assumptions!$C$44:$E$44,1,MATCH($A11,Assumptions!$C$4:$E$4,0)))*(1+INDEX(Assumptions!$C$45:$E$45,1,MATCH($A11,Assumptions!$C$4:$E$4,0)))</f>
        <v>82.316999999999993</v>
      </c>
      <c r="AK11" s="16">
        <f>0</f>
        <v>0</v>
      </c>
      <c r="AL11" s="16">
        <f t="shared" si="8"/>
        <v>5780</v>
      </c>
      <c r="AM11" s="16">
        <f>0</f>
        <v>0</v>
      </c>
    </row>
    <row r="12" spans="1:39" x14ac:dyDescent="0.35">
      <c r="A12" s="2" t="s">
        <v>5</v>
      </c>
      <c r="B12" s="2">
        <v>100</v>
      </c>
      <c r="C12" s="2">
        <v>100</v>
      </c>
      <c r="D12" s="2">
        <v>6</v>
      </c>
      <c r="E12" s="2" t="s">
        <v>490</v>
      </c>
      <c r="F12" s="2" t="s">
        <v>1132</v>
      </c>
      <c r="G12" s="2" t="s">
        <v>535</v>
      </c>
      <c r="H12" s="2" t="s">
        <v>683</v>
      </c>
      <c r="I12" s="2">
        <v>0</v>
      </c>
      <c r="J12" s="2">
        <v>0</v>
      </c>
      <c r="K12" s="11">
        <v>249</v>
      </c>
      <c r="L12" s="11">
        <v>8</v>
      </c>
      <c r="M12" s="15">
        <f t="shared" si="0"/>
        <v>82.316999999999993</v>
      </c>
      <c r="N12" s="15">
        <f>0</f>
        <v>0</v>
      </c>
      <c r="O12" s="15">
        <f t="shared" si="1"/>
        <v>82.316999999999993</v>
      </c>
      <c r="P12" s="15">
        <f t="shared" si="2"/>
        <v>25700</v>
      </c>
      <c r="Q12" s="14">
        <f t="shared" si="3"/>
        <v>0.99679700389105064</v>
      </c>
      <c r="R12" s="14">
        <f t="shared" si="4"/>
        <v>0.99679700389105064</v>
      </c>
      <c r="S12" s="15">
        <f>M12/(1-INDEX(Assumptions!$C$46:$E$46,1,MATCH($A12,Assumptions!$C$4:$E$4,0)))</f>
        <v>411.58500000000004</v>
      </c>
      <c r="T12" s="15">
        <f t="shared" si="5"/>
        <v>0.82316999999999996</v>
      </c>
      <c r="U12" s="15">
        <f t="shared" si="6"/>
        <v>0.82316999999999996</v>
      </c>
      <c r="V12" s="15">
        <f>0</f>
        <v>0</v>
      </c>
      <c r="W12" s="15">
        <f>0</f>
        <v>0</v>
      </c>
      <c r="Y12" s="16">
        <f>$B12*$D12*INDEX(Assumptions!$C$10:$E$10,1,MATCH($A12,Assumptions!$C$4:$E$4,0))*IF($E12="Economical",INDEX(Assumptions!$C$13:$E$13,1,MATCH($A12,Assumptions!$C$4:$E$4,0)),IF($E12="Base incremental",INDEX(Assumptions!$C$14:$E$14,1,MATCH($A12,Assumptions!$C$4:$E$4,0)),INDEX(Assumptions!$C$15:$E$15,1,MATCH($A12,Assumptions!$C$4:$E$4,0))))*30*INDEX(Assumptions!$C$11:$E$11,1,MATCH($A12,Assumptions!$C$4:$E$4,0))</f>
        <v>1800000</v>
      </c>
      <c r="Z12" s="16">
        <f>$Y12/INDEX(Assumptions!$C$12:$E$12,1,MATCH($A12,Assumptions!$C$4:$E$4,0))+$C12*INDEX(Assumptions!$C$6:$E$6,1,MATCH($A12,Assumptions!$C$4:$E$4,0))*300</f>
        <v>258000</v>
      </c>
      <c r="AA12" s="16">
        <f>'COGS Matrix'!$I$9+MAX(0,($Z12-'COGS Matrix'!$J$10)/1000000)*'COGS Matrix'!$I$10+MAX(0,($Z12*INDEX(Assumptions!$C$16:$E$16,1,MATCH($A12,Assumptions!$C$4:$E$4,0))-'COGS Matrix'!$J$11)/1000000)*'COGS Matrix'!$I$11+MAX(0,($B12*$D12*IF($E12="Economical",INDEX(Assumptions!$C$13:$E$13,1,MATCH($A12,Assumptions!$C$4:$E$4,0)),IF($E12="Base incremental",INDEX(Assumptions!$C$14:$E$14,1,MATCH($A12,Assumptions!$C$4:$E$4,0)),INDEX(Assumptions!$C$15:$E$15,1,MATCH($A12,Assumptions!$C$4:$E$4,0))))*30*3-'COGS Matrix'!$J$12)/1000000)*'COGS Matrix'!$I$12+MAX(0,($Z12*INDEX(Assumptions!$C$17:$E$17,1,MATCH($A12,Assumptions!$C$4:$E$4,0))*INDEX(Assumptions!$C$18:$E$18,1,MATCH($A12,Assumptions!$C$4:$E$4,0))-'COGS Matrix'!$J$13)/1000000)*'COGS Matrix'!$I$13</f>
        <v>5</v>
      </c>
      <c r="AB12" s="16">
        <f>MAX(0,CEILING($B12*INDEX(Assumptions!$C$7:$E$7,1,MATCH($A12,Assumptions!$C$4:$E$4,0)),1)-'COGS Matrix'!$J$14)*'COGS Matrix'!$I$14+MAX(0,CEILING($Y12/1000000,1)-'COGS Matrix'!$J$15/1000000)*'COGS Matrix'!$I$15+MAX(0,CEILING($Z12/1000000,1)-'COGS Matrix'!$J$16/1000000)*'COGS Matrix'!$I$16</f>
        <v>7.35</v>
      </c>
      <c r="AC12" s="16">
        <f>IF($G12="BYO",0,IF($G12="Shared",1,IF($G12="Dedicated",$C12,0))*'COGS Matrix'!$I$17+IF($G12="Shared",1,IF($G12="Dedicated",$C12,0))*MAX(0,MAX(IF($Y12&lt;20000000,10,IF($Y12&lt;100000000,15,IF($Y12&lt;500000000,60,111))),IF($J12=1,15,0))-10)+MAX(0,$B12*INDEX(Assumptions!$C$8:$E$8,1,MATCH($A12,Assumptions!$C$4:$E$4,0))-8*IF($G12="Shared",1,IF($G12="Dedicated",$C12,0)))*'COGS Matrix'!$I$19+MAX(0,$B12*INDEX(Assumptions!$C$9:$E$9,1,MATCH($A12,Assumptions!$C$4:$E$4,0))-250*IF($G12="Shared",1,IF($G12="Dedicated",$C12,0)))*'COGS Matrix'!$I$20+$J12*730*IF($G12="Shared",1,IF($G12="Dedicated",$C12,0))*'COGS Matrix'!$I$21)</f>
        <v>25</v>
      </c>
      <c r="AD12" s="16">
        <f>IF(ROUNDUP($C12*$D12*INDEX(Assumptions!$C$20:$E$20,1,MATCH($A12,Assumptions!$C$4:$E$4,0)),0)=0,0,'COGS Matrix'!$I$24+MAX(0,ROUNDUP($C12*$D12*INDEX(Assumptions!$C$20:$E$20,1,MATCH($A12,Assumptions!$C$4:$E$4,0)),0)-'COGS Matrix'!$J$24))</f>
        <v>0</v>
      </c>
      <c r="AE12" s="16">
        <f>IF($F12="None",0,$B12*IF($F12="None",0,IF($F12="Minimal",INDEX(Assumptions!$C$22:$E$22,1,MATCH($A12,Assumptions!$C$4:$E$4,0)),IF($F12="Standard",INDEX(Assumptions!$C$23:$E$23,1,MATCH($A12,Assumptions!$C$4:$E$4,0)),INDEX(Assumptions!$C$24:$E$24,1,MATCH($A12,Assumptions!$C$4:$E$4,0)))))*INDEX(Assumptions!$C$25:$E$25,1,MATCH($A12,Assumptions!$C$4:$E$4,0))/1000000*IF($F12="Minimal",INDEX(Assumptions!$C$27:$E$27,1,MATCH($A12,Assumptions!$C$4:$E$4,0)),IF($F12="Standard",INDEX(Assumptions!$C$29:$E$29,1,MATCH($A12,Assumptions!$C$4:$E$4,0)),INDEX(Assumptions!$C$31:$E$31,1,MATCH($A12,Assumptions!$C$4:$E$4,0))))+$B12*IF($F12="None",0,IF($F12="Minimal",INDEX(Assumptions!$C$22:$E$22,1,MATCH($A12,Assumptions!$C$4:$E$4,0)),IF($F12="Standard",INDEX(Assumptions!$C$23:$E$23,1,MATCH($A12,Assumptions!$C$4:$E$4,0)),INDEX(Assumptions!$C$24:$E$24,1,MATCH($A12,Assumptions!$C$4:$E$4,0)))))*INDEX(Assumptions!$C$26:$E$26,1,MATCH($A12,Assumptions!$C$4:$E$4,0))/1000000*IF($F12="Minimal",INDEX(Assumptions!$C$28:$E$28,1,MATCH($A12,Assumptions!$C$4:$E$4,0)),IF($F12="Standard",INDEX(Assumptions!$C$30:$E$30,1,MATCH($A12,Assumptions!$C$4:$E$4,0)),INDEX(Assumptions!$C$32:$E$32,1,MATCH($A12,Assumptions!$C$4:$E$4,0))))+$B12*INDEX(Assumptions!$C$33:$E$33,1,MATCH($A12,Assumptions!$C$4:$E$4,0))*INDEX(Assumptions!$C$34:$E$34,1,MATCH($A12,Assumptions!$C$4:$E$4,0)))</f>
        <v>22.3</v>
      </c>
      <c r="AF12" s="16">
        <f>INDEX(Assumptions!$C$19:$E$19,1,MATCH($A12,Assumptions!$C$4:$E$4,0))</f>
        <v>0</v>
      </c>
      <c r="AG12" s="16">
        <f>$C12*$I12*'COGS Matrix'!$I$30</f>
        <v>0</v>
      </c>
      <c r="AH12" s="16">
        <f>IF($A12="High",'COGS Matrix'!$I$31+IF($F12="Heavy",199,'COGS Matrix'!$I$32),0)</f>
        <v>0</v>
      </c>
      <c r="AI12" s="16">
        <f t="shared" si="7"/>
        <v>59.650000000000006</v>
      </c>
      <c r="AJ12" s="16">
        <f>$AI12*(1+INDEX(Assumptions!$C$44:$E$44,1,MATCH($A12,Assumptions!$C$4:$E$4,0)))*(1+INDEX(Assumptions!$C$45:$E$45,1,MATCH($A12,Assumptions!$C$4:$E$4,0)))</f>
        <v>82.316999999999993</v>
      </c>
      <c r="AK12" s="16">
        <f>0</f>
        <v>0</v>
      </c>
      <c r="AL12" s="16">
        <f t="shared" si="8"/>
        <v>25700</v>
      </c>
      <c r="AM12" s="16">
        <f>0</f>
        <v>0</v>
      </c>
    </row>
    <row r="13" spans="1:39" x14ac:dyDescent="0.35">
      <c r="A13" s="2" t="s">
        <v>5</v>
      </c>
      <c r="B13" s="2">
        <v>500</v>
      </c>
      <c r="C13" s="2">
        <v>1</v>
      </c>
      <c r="D13" s="2">
        <v>6</v>
      </c>
      <c r="E13" s="2" t="s">
        <v>490</v>
      </c>
      <c r="F13" s="2" t="s">
        <v>1132</v>
      </c>
      <c r="G13" s="2" t="s">
        <v>535</v>
      </c>
      <c r="H13" s="2" t="s">
        <v>683</v>
      </c>
      <c r="I13" s="2">
        <v>0</v>
      </c>
      <c r="J13" s="2">
        <v>0</v>
      </c>
      <c r="K13" s="11">
        <v>249</v>
      </c>
      <c r="L13" s="11">
        <v>8</v>
      </c>
      <c r="M13" s="15">
        <f t="shared" si="0"/>
        <v>267.55715999999995</v>
      </c>
      <c r="N13" s="15">
        <f>0</f>
        <v>0</v>
      </c>
      <c r="O13" s="15">
        <f t="shared" si="1"/>
        <v>267.55715999999995</v>
      </c>
      <c r="P13" s="15">
        <f t="shared" si="2"/>
        <v>4249</v>
      </c>
      <c r="Q13" s="14">
        <f t="shared" si="3"/>
        <v>0.9370305577783008</v>
      </c>
      <c r="R13" s="14">
        <f t="shared" si="4"/>
        <v>0.9370305577783008</v>
      </c>
      <c r="S13" s="15">
        <f>M13/(1-INDEX(Assumptions!$C$46:$E$46,1,MATCH($A13,Assumptions!$C$4:$E$4,0)))</f>
        <v>1337.7858000000001</v>
      </c>
      <c r="T13" s="15">
        <f t="shared" si="5"/>
        <v>0.53511431999999992</v>
      </c>
      <c r="U13" s="15">
        <f t="shared" si="6"/>
        <v>267.55715999999995</v>
      </c>
      <c r="V13" s="15">
        <f>0</f>
        <v>0</v>
      </c>
      <c r="W13" s="15">
        <f>0</f>
        <v>0</v>
      </c>
      <c r="Y13" s="16">
        <f>$B13*$D13*INDEX(Assumptions!$C$10:$E$10,1,MATCH($A13,Assumptions!$C$4:$E$4,0))*IF($E13="Economical",INDEX(Assumptions!$C$13:$E$13,1,MATCH($A13,Assumptions!$C$4:$E$4,0)),IF($E13="Base incremental",INDEX(Assumptions!$C$14:$E$14,1,MATCH($A13,Assumptions!$C$4:$E$4,0)),INDEX(Assumptions!$C$15:$E$15,1,MATCH($A13,Assumptions!$C$4:$E$4,0))))*30*INDEX(Assumptions!$C$11:$E$11,1,MATCH($A13,Assumptions!$C$4:$E$4,0))</f>
        <v>9000000</v>
      </c>
      <c r="Z13" s="16">
        <f>$Y13/INDEX(Assumptions!$C$12:$E$12,1,MATCH($A13,Assumptions!$C$4:$E$4,0))+$C13*INDEX(Assumptions!$C$6:$E$6,1,MATCH($A13,Assumptions!$C$4:$E$4,0))*300</f>
        <v>92400</v>
      </c>
      <c r="AA13" s="16">
        <f>'COGS Matrix'!$I$9+MAX(0,($Z13-'COGS Matrix'!$J$10)/1000000)*'COGS Matrix'!$I$10+MAX(0,($Z13*INDEX(Assumptions!$C$16:$E$16,1,MATCH($A13,Assumptions!$C$4:$E$4,0))-'COGS Matrix'!$J$11)/1000000)*'COGS Matrix'!$I$11+MAX(0,($B13*$D13*IF($E13="Economical",INDEX(Assumptions!$C$13:$E$13,1,MATCH($A13,Assumptions!$C$4:$E$4,0)),IF($E13="Base incremental",INDEX(Assumptions!$C$14:$E$14,1,MATCH($A13,Assumptions!$C$4:$E$4,0)),INDEX(Assumptions!$C$15:$E$15,1,MATCH($A13,Assumptions!$C$4:$E$4,0))))*30*3-'COGS Matrix'!$J$12)/1000000)*'COGS Matrix'!$I$12+MAX(0,($Z13*INDEX(Assumptions!$C$17:$E$17,1,MATCH($A13,Assumptions!$C$4:$E$4,0))*INDEX(Assumptions!$C$18:$E$18,1,MATCH($A13,Assumptions!$C$4:$E$4,0))-'COGS Matrix'!$J$13)/1000000)*'COGS Matrix'!$I$13</f>
        <v>5.032</v>
      </c>
      <c r="AB13" s="16">
        <f>MAX(0,CEILING($B13*INDEX(Assumptions!$C$7:$E$7,1,MATCH($A13,Assumptions!$C$4:$E$4,0)),1)-'COGS Matrix'!$J$14)*'COGS Matrix'!$I$14+MAX(0,CEILING($Y13/1000000,1)-'COGS Matrix'!$J$15/1000000)*'COGS Matrix'!$I$15+MAX(0,CEILING($Z13/1000000,1)-'COGS Matrix'!$J$16/1000000)*'COGS Matrix'!$I$16</f>
        <v>50.85</v>
      </c>
      <c r="AC13" s="16">
        <f>IF($G13="BYO",0,IF($G13="Shared",1,IF($G13="Dedicated",$C13,0))*'COGS Matrix'!$I$17+IF($G13="Shared",1,IF($G13="Dedicated",$C13,0))*MAX(0,MAX(IF($Y13&lt;20000000,10,IF($Y13&lt;100000000,15,IF($Y13&lt;500000000,60,111))),IF($J13=1,15,0))-10)+MAX(0,$B13*INDEX(Assumptions!$C$8:$E$8,1,MATCH($A13,Assumptions!$C$4:$E$4,0))-8*IF($G13="Shared",1,IF($G13="Dedicated",$C13,0)))*'COGS Matrix'!$I$19+MAX(0,$B13*INDEX(Assumptions!$C$9:$E$9,1,MATCH($A13,Assumptions!$C$4:$E$4,0))-250*IF($G13="Shared",1,IF($G13="Dedicated",$C13,0)))*'COGS Matrix'!$I$20+$J13*730*IF($G13="Shared",1,IF($G13="Dedicated",$C13,0))*'COGS Matrix'!$I$21)</f>
        <v>26.5</v>
      </c>
      <c r="AD13" s="16">
        <f>IF(ROUNDUP($C13*$D13*INDEX(Assumptions!$C$20:$E$20,1,MATCH($A13,Assumptions!$C$4:$E$4,0)),0)=0,0,'COGS Matrix'!$I$24+MAX(0,ROUNDUP($C13*$D13*INDEX(Assumptions!$C$20:$E$20,1,MATCH($A13,Assumptions!$C$4:$E$4,0)),0)-'COGS Matrix'!$J$24))</f>
        <v>0</v>
      </c>
      <c r="AE13" s="16">
        <f>IF($F13="None",0,$B13*IF($F13="None",0,IF($F13="Minimal",INDEX(Assumptions!$C$22:$E$22,1,MATCH($A13,Assumptions!$C$4:$E$4,0)),IF($F13="Standard",INDEX(Assumptions!$C$23:$E$23,1,MATCH($A13,Assumptions!$C$4:$E$4,0)),INDEX(Assumptions!$C$24:$E$24,1,MATCH($A13,Assumptions!$C$4:$E$4,0)))))*INDEX(Assumptions!$C$25:$E$25,1,MATCH($A13,Assumptions!$C$4:$E$4,0))/1000000*IF($F13="Minimal",INDEX(Assumptions!$C$27:$E$27,1,MATCH($A13,Assumptions!$C$4:$E$4,0)),IF($F13="Standard",INDEX(Assumptions!$C$29:$E$29,1,MATCH($A13,Assumptions!$C$4:$E$4,0)),INDEX(Assumptions!$C$31:$E$31,1,MATCH($A13,Assumptions!$C$4:$E$4,0))))+$B13*IF($F13="None",0,IF($F13="Minimal",INDEX(Assumptions!$C$22:$E$22,1,MATCH($A13,Assumptions!$C$4:$E$4,0)),IF($F13="Standard",INDEX(Assumptions!$C$23:$E$23,1,MATCH($A13,Assumptions!$C$4:$E$4,0)),INDEX(Assumptions!$C$24:$E$24,1,MATCH($A13,Assumptions!$C$4:$E$4,0)))))*INDEX(Assumptions!$C$26:$E$26,1,MATCH($A13,Assumptions!$C$4:$E$4,0))/1000000*IF($F13="Minimal",INDEX(Assumptions!$C$28:$E$28,1,MATCH($A13,Assumptions!$C$4:$E$4,0)),IF($F13="Standard",INDEX(Assumptions!$C$30:$E$30,1,MATCH($A13,Assumptions!$C$4:$E$4,0)),INDEX(Assumptions!$C$32:$E$32,1,MATCH($A13,Assumptions!$C$4:$E$4,0))))+$B13*INDEX(Assumptions!$C$33:$E$33,1,MATCH($A13,Assumptions!$C$4:$E$4,0))*INDEX(Assumptions!$C$34:$E$34,1,MATCH($A13,Assumptions!$C$4:$E$4,0)))</f>
        <v>111.5</v>
      </c>
      <c r="AF13" s="16">
        <f>INDEX(Assumptions!$C$19:$E$19,1,MATCH($A13,Assumptions!$C$4:$E$4,0))</f>
        <v>0</v>
      </c>
      <c r="AG13" s="16">
        <f>$C13*$I13*'COGS Matrix'!$I$30</f>
        <v>0</v>
      </c>
      <c r="AH13" s="16">
        <f>IF($A13="High",'COGS Matrix'!$I$31+IF($F13="Heavy",199,'COGS Matrix'!$I$32),0)</f>
        <v>0</v>
      </c>
      <c r="AI13" s="16">
        <f t="shared" si="7"/>
        <v>193.88200000000001</v>
      </c>
      <c r="AJ13" s="16">
        <f>$AI13*(1+INDEX(Assumptions!$C$44:$E$44,1,MATCH($A13,Assumptions!$C$4:$E$4,0)))*(1+INDEX(Assumptions!$C$45:$E$45,1,MATCH($A13,Assumptions!$C$4:$E$4,0)))</f>
        <v>267.55715999999995</v>
      </c>
      <c r="AK13" s="16">
        <f>0</f>
        <v>0</v>
      </c>
      <c r="AL13" s="16">
        <f t="shared" si="8"/>
        <v>4249</v>
      </c>
      <c r="AM13" s="16">
        <f>0</f>
        <v>0</v>
      </c>
    </row>
    <row r="14" spans="1:39" x14ac:dyDescent="0.35">
      <c r="A14" s="2" t="s">
        <v>5</v>
      </c>
      <c r="B14" s="2">
        <v>500</v>
      </c>
      <c r="C14" s="2">
        <v>5</v>
      </c>
      <c r="D14" s="2">
        <v>6</v>
      </c>
      <c r="E14" s="2" t="s">
        <v>490</v>
      </c>
      <c r="F14" s="2" t="s">
        <v>1132</v>
      </c>
      <c r="G14" s="2" t="s">
        <v>535</v>
      </c>
      <c r="H14" s="2" t="s">
        <v>683</v>
      </c>
      <c r="I14" s="2">
        <v>0</v>
      </c>
      <c r="J14" s="2">
        <v>0</v>
      </c>
      <c r="K14" s="11">
        <v>249</v>
      </c>
      <c r="L14" s="11">
        <v>8</v>
      </c>
      <c r="M14" s="15">
        <f t="shared" si="0"/>
        <v>267.55715999999995</v>
      </c>
      <c r="N14" s="15">
        <f>0</f>
        <v>0</v>
      </c>
      <c r="O14" s="15">
        <f t="shared" si="1"/>
        <v>267.55715999999995</v>
      </c>
      <c r="P14" s="15">
        <f t="shared" si="2"/>
        <v>5245</v>
      </c>
      <c r="Q14" s="14">
        <f t="shared" si="3"/>
        <v>0.94898814871306003</v>
      </c>
      <c r="R14" s="14">
        <f t="shared" si="4"/>
        <v>0.94898814871306003</v>
      </c>
      <c r="S14" s="15">
        <f>M14/(1-INDEX(Assumptions!$C$46:$E$46,1,MATCH($A14,Assumptions!$C$4:$E$4,0)))</f>
        <v>1337.7858000000001</v>
      </c>
      <c r="T14" s="15">
        <f t="shared" si="5"/>
        <v>0.53511431999999992</v>
      </c>
      <c r="U14" s="15">
        <f t="shared" si="6"/>
        <v>53.511431999999992</v>
      </c>
      <c r="V14" s="15">
        <f>0</f>
        <v>0</v>
      </c>
      <c r="W14" s="15">
        <f>0</f>
        <v>0</v>
      </c>
      <c r="Y14" s="16">
        <f>$B14*$D14*INDEX(Assumptions!$C$10:$E$10,1,MATCH($A14,Assumptions!$C$4:$E$4,0))*IF($E14="Economical",INDEX(Assumptions!$C$13:$E$13,1,MATCH($A14,Assumptions!$C$4:$E$4,0)),IF($E14="Base incremental",INDEX(Assumptions!$C$14:$E$14,1,MATCH($A14,Assumptions!$C$4:$E$4,0)),INDEX(Assumptions!$C$15:$E$15,1,MATCH($A14,Assumptions!$C$4:$E$4,0))))*30*INDEX(Assumptions!$C$11:$E$11,1,MATCH($A14,Assumptions!$C$4:$E$4,0))</f>
        <v>9000000</v>
      </c>
      <c r="Z14" s="16">
        <f>$Y14/INDEX(Assumptions!$C$12:$E$12,1,MATCH($A14,Assumptions!$C$4:$E$4,0))+$C14*INDEX(Assumptions!$C$6:$E$6,1,MATCH($A14,Assumptions!$C$4:$E$4,0))*300</f>
        <v>102000</v>
      </c>
      <c r="AA14" s="16">
        <f>'COGS Matrix'!$I$9+MAX(0,($Z14-'COGS Matrix'!$J$10)/1000000)*'COGS Matrix'!$I$10+MAX(0,($Z14*INDEX(Assumptions!$C$16:$E$16,1,MATCH($A14,Assumptions!$C$4:$E$4,0))-'COGS Matrix'!$J$11)/1000000)*'COGS Matrix'!$I$11+MAX(0,($B14*$D14*IF($E14="Economical",INDEX(Assumptions!$C$13:$E$13,1,MATCH($A14,Assumptions!$C$4:$E$4,0)),IF($E14="Base incremental",INDEX(Assumptions!$C$14:$E$14,1,MATCH($A14,Assumptions!$C$4:$E$4,0)),INDEX(Assumptions!$C$15:$E$15,1,MATCH($A14,Assumptions!$C$4:$E$4,0))))*30*3-'COGS Matrix'!$J$12)/1000000)*'COGS Matrix'!$I$12+MAX(0,($Z14*INDEX(Assumptions!$C$17:$E$17,1,MATCH($A14,Assumptions!$C$4:$E$4,0))*INDEX(Assumptions!$C$18:$E$18,1,MATCH($A14,Assumptions!$C$4:$E$4,0))-'COGS Matrix'!$J$13)/1000000)*'COGS Matrix'!$I$13</f>
        <v>5.032</v>
      </c>
      <c r="AB14" s="16">
        <f>MAX(0,CEILING($B14*INDEX(Assumptions!$C$7:$E$7,1,MATCH($A14,Assumptions!$C$4:$E$4,0)),1)-'COGS Matrix'!$J$14)*'COGS Matrix'!$I$14+MAX(0,CEILING($Y14/1000000,1)-'COGS Matrix'!$J$15/1000000)*'COGS Matrix'!$I$15+MAX(0,CEILING($Z14/1000000,1)-'COGS Matrix'!$J$16/1000000)*'COGS Matrix'!$I$16</f>
        <v>50.85</v>
      </c>
      <c r="AC14" s="16">
        <f>IF($G14="BYO",0,IF($G14="Shared",1,IF($G14="Dedicated",$C14,0))*'COGS Matrix'!$I$17+IF($G14="Shared",1,IF($G14="Dedicated",$C14,0))*MAX(0,MAX(IF($Y14&lt;20000000,10,IF($Y14&lt;100000000,15,IF($Y14&lt;500000000,60,111))),IF($J14=1,15,0))-10)+MAX(0,$B14*INDEX(Assumptions!$C$8:$E$8,1,MATCH($A14,Assumptions!$C$4:$E$4,0))-8*IF($G14="Shared",1,IF($G14="Dedicated",$C14,0)))*'COGS Matrix'!$I$19+MAX(0,$B14*INDEX(Assumptions!$C$9:$E$9,1,MATCH($A14,Assumptions!$C$4:$E$4,0))-250*IF($G14="Shared",1,IF($G14="Dedicated",$C14,0)))*'COGS Matrix'!$I$20+$J14*730*IF($G14="Shared",1,IF($G14="Dedicated",$C14,0))*'COGS Matrix'!$I$21)</f>
        <v>26.5</v>
      </c>
      <c r="AD14" s="16">
        <f>IF(ROUNDUP($C14*$D14*INDEX(Assumptions!$C$20:$E$20,1,MATCH($A14,Assumptions!$C$4:$E$4,0)),0)=0,0,'COGS Matrix'!$I$24+MAX(0,ROUNDUP($C14*$D14*INDEX(Assumptions!$C$20:$E$20,1,MATCH($A14,Assumptions!$C$4:$E$4,0)),0)-'COGS Matrix'!$J$24))</f>
        <v>0</v>
      </c>
      <c r="AE14" s="16">
        <f>IF($F14="None",0,$B14*IF($F14="None",0,IF($F14="Minimal",INDEX(Assumptions!$C$22:$E$22,1,MATCH($A14,Assumptions!$C$4:$E$4,0)),IF($F14="Standard",INDEX(Assumptions!$C$23:$E$23,1,MATCH($A14,Assumptions!$C$4:$E$4,0)),INDEX(Assumptions!$C$24:$E$24,1,MATCH($A14,Assumptions!$C$4:$E$4,0)))))*INDEX(Assumptions!$C$25:$E$25,1,MATCH($A14,Assumptions!$C$4:$E$4,0))/1000000*IF($F14="Minimal",INDEX(Assumptions!$C$27:$E$27,1,MATCH($A14,Assumptions!$C$4:$E$4,0)),IF($F14="Standard",INDEX(Assumptions!$C$29:$E$29,1,MATCH($A14,Assumptions!$C$4:$E$4,0)),INDEX(Assumptions!$C$31:$E$31,1,MATCH($A14,Assumptions!$C$4:$E$4,0))))+$B14*IF($F14="None",0,IF($F14="Minimal",INDEX(Assumptions!$C$22:$E$22,1,MATCH($A14,Assumptions!$C$4:$E$4,0)),IF($F14="Standard",INDEX(Assumptions!$C$23:$E$23,1,MATCH($A14,Assumptions!$C$4:$E$4,0)),INDEX(Assumptions!$C$24:$E$24,1,MATCH($A14,Assumptions!$C$4:$E$4,0)))))*INDEX(Assumptions!$C$26:$E$26,1,MATCH($A14,Assumptions!$C$4:$E$4,0))/1000000*IF($F14="Minimal",INDEX(Assumptions!$C$28:$E$28,1,MATCH($A14,Assumptions!$C$4:$E$4,0)),IF($F14="Standard",INDEX(Assumptions!$C$30:$E$30,1,MATCH($A14,Assumptions!$C$4:$E$4,0)),INDEX(Assumptions!$C$32:$E$32,1,MATCH($A14,Assumptions!$C$4:$E$4,0))))+$B14*INDEX(Assumptions!$C$33:$E$33,1,MATCH($A14,Assumptions!$C$4:$E$4,0))*INDEX(Assumptions!$C$34:$E$34,1,MATCH($A14,Assumptions!$C$4:$E$4,0)))</f>
        <v>111.5</v>
      </c>
      <c r="AF14" s="16">
        <f>INDEX(Assumptions!$C$19:$E$19,1,MATCH($A14,Assumptions!$C$4:$E$4,0))</f>
        <v>0</v>
      </c>
      <c r="AG14" s="16">
        <f>$C14*$I14*'COGS Matrix'!$I$30</f>
        <v>0</v>
      </c>
      <c r="AH14" s="16">
        <f>IF($A14="High",'COGS Matrix'!$I$31+IF($F14="Heavy",199,'COGS Matrix'!$I$32),0)</f>
        <v>0</v>
      </c>
      <c r="AI14" s="16">
        <f t="shared" si="7"/>
        <v>193.88200000000001</v>
      </c>
      <c r="AJ14" s="16">
        <f>$AI14*(1+INDEX(Assumptions!$C$44:$E$44,1,MATCH($A14,Assumptions!$C$4:$E$4,0)))*(1+INDEX(Assumptions!$C$45:$E$45,1,MATCH($A14,Assumptions!$C$4:$E$4,0)))</f>
        <v>267.55715999999995</v>
      </c>
      <c r="AK14" s="16">
        <f>0</f>
        <v>0</v>
      </c>
      <c r="AL14" s="16">
        <f t="shared" si="8"/>
        <v>5245</v>
      </c>
      <c r="AM14" s="16">
        <f>0</f>
        <v>0</v>
      </c>
    </row>
    <row r="15" spans="1:39" x14ac:dyDescent="0.35">
      <c r="A15" s="2" t="s">
        <v>5</v>
      </c>
      <c r="B15" s="2">
        <v>500</v>
      </c>
      <c r="C15" s="2">
        <v>20</v>
      </c>
      <c r="D15" s="2">
        <v>6</v>
      </c>
      <c r="E15" s="2" t="s">
        <v>490</v>
      </c>
      <c r="F15" s="2" t="s">
        <v>1132</v>
      </c>
      <c r="G15" s="2" t="s">
        <v>535</v>
      </c>
      <c r="H15" s="2" t="s">
        <v>683</v>
      </c>
      <c r="I15" s="2">
        <v>0</v>
      </c>
      <c r="J15" s="2">
        <v>0</v>
      </c>
      <c r="K15" s="11">
        <v>249</v>
      </c>
      <c r="L15" s="11">
        <v>8</v>
      </c>
      <c r="M15" s="15">
        <f t="shared" si="0"/>
        <v>267.55715999999995</v>
      </c>
      <c r="N15" s="15">
        <f>0</f>
        <v>0</v>
      </c>
      <c r="O15" s="15">
        <f t="shared" si="1"/>
        <v>267.55715999999995</v>
      </c>
      <c r="P15" s="15">
        <f t="shared" si="2"/>
        <v>8980</v>
      </c>
      <c r="Q15" s="14">
        <f t="shared" si="3"/>
        <v>0.9702052160356347</v>
      </c>
      <c r="R15" s="14">
        <f t="shared" si="4"/>
        <v>0.9702052160356347</v>
      </c>
      <c r="S15" s="15">
        <f>M15/(1-INDEX(Assumptions!$C$46:$E$46,1,MATCH($A15,Assumptions!$C$4:$E$4,0)))</f>
        <v>1337.7858000000001</v>
      </c>
      <c r="T15" s="15">
        <f t="shared" si="5"/>
        <v>0.53511431999999992</v>
      </c>
      <c r="U15" s="15">
        <f t="shared" si="6"/>
        <v>13.377857999999998</v>
      </c>
      <c r="V15" s="15">
        <f>0</f>
        <v>0</v>
      </c>
      <c r="W15" s="15">
        <f>0</f>
        <v>0</v>
      </c>
      <c r="Y15" s="16">
        <f>$B15*$D15*INDEX(Assumptions!$C$10:$E$10,1,MATCH($A15,Assumptions!$C$4:$E$4,0))*IF($E15="Economical",INDEX(Assumptions!$C$13:$E$13,1,MATCH($A15,Assumptions!$C$4:$E$4,0)),IF($E15="Base incremental",INDEX(Assumptions!$C$14:$E$14,1,MATCH($A15,Assumptions!$C$4:$E$4,0)),INDEX(Assumptions!$C$15:$E$15,1,MATCH($A15,Assumptions!$C$4:$E$4,0))))*30*INDEX(Assumptions!$C$11:$E$11,1,MATCH($A15,Assumptions!$C$4:$E$4,0))</f>
        <v>9000000</v>
      </c>
      <c r="Z15" s="16">
        <f>$Y15/INDEX(Assumptions!$C$12:$E$12,1,MATCH($A15,Assumptions!$C$4:$E$4,0))+$C15*INDEX(Assumptions!$C$6:$E$6,1,MATCH($A15,Assumptions!$C$4:$E$4,0))*300</f>
        <v>138000</v>
      </c>
      <c r="AA15" s="16">
        <f>'COGS Matrix'!$I$9+MAX(0,($Z15-'COGS Matrix'!$J$10)/1000000)*'COGS Matrix'!$I$10+MAX(0,($Z15*INDEX(Assumptions!$C$16:$E$16,1,MATCH($A15,Assumptions!$C$4:$E$4,0))-'COGS Matrix'!$J$11)/1000000)*'COGS Matrix'!$I$11+MAX(0,($B15*$D15*IF($E15="Economical",INDEX(Assumptions!$C$13:$E$13,1,MATCH($A15,Assumptions!$C$4:$E$4,0)),IF($E15="Base incremental",INDEX(Assumptions!$C$14:$E$14,1,MATCH($A15,Assumptions!$C$4:$E$4,0)),INDEX(Assumptions!$C$15:$E$15,1,MATCH($A15,Assumptions!$C$4:$E$4,0))))*30*3-'COGS Matrix'!$J$12)/1000000)*'COGS Matrix'!$I$12+MAX(0,($Z15*INDEX(Assumptions!$C$17:$E$17,1,MATCH($A15,Assumptions!$C$4:$E$4,0))*INDEX(Assumptions!$C$18:$E$18,1,MATCH($A15,Assumptions!$C$4:$E$4,0))-'COGS Matrix'!$J$13)/1000000)*'COGS Matrix'!$I$13</f>
        <v>5.032</v>
      </c>
      <c r="AB15" s="16">
        <f>MAX(0,CEILING($B15*INDEX(Assumptions!$C$7:$E$7,1,MATCH($A15,Assumptions!$C$4:$E$4,0)),1)-'COGS Matrix'!$J$14)*'COGS Matrix'!$I$14+MAX(0,CEILING($Y15/1000000,1)-'COGS Matrix'!$J$15/1000000)*'COGS Matrix'!$I$15+MAX(0,CEILING($Z15/1000000,1)-'COGS Matrix'!$J$16/1000000)*'COGS Matrix'!$I$16</f>
        <v>50.85</v>
      </c>
      <c r="AC15" s="16">
        <f>IF($G15="BYO",0,IF($G15="Shared",1,IF($G15="Dedicated",$C15,0))*'COGS Matrix'!$I$17+IF($G15="Shared",1,IF($G15="Dedicated",$C15,0))*MAX(0,MAX(IF($Y15&lt;20000000,10,IF($Y15&lt;100000000,15,IF($Y15&lt;500000000,60,111))),IF($J15=1,15,0))-10)+MAX(0,$B15*INDEX(Assumptions!$C$8:$E$8,1,MATCH($A15,Assumptions!$C$4:$E$4,0))-8*IF($G15="Shared",1,IF($G15="Dedicated",$C15,0)))*'COGS Matrix'!$I$19+MAX(0,$B15*INDEX(Assumptions!$C$9:$E$9,1,MATCH($A15,Assumptions!$C$4:$E$4,0))-250*IF($G15="Shared",1,IF($G15="Dedicated",$C15,0)))*'COGS Matrix'!$I$20+$J15*730*IF($G15="Shared",1,IF($G15="Dedicated",$C15,0))*'COGS Matrix'!$I$21)</f>
        <v>26.5</v>
      </c>
      <c r="AD15" s="16">
        <f>IF(ROUNDUP($C15*$D15*INDEX(Assumptions!$C$20:$E$20,1,MATCH($A15,Assumptions!$C$4:$E$4,0)),0)=0,0,'COGS Matrix'!$I$24+MAX(0,ROUNDUP($C15*$D15*INDEX(Assumptions!$C$20:$E$20,1,MATCH($A15,Assumptions!$C$4:$E$4,0)),0)-'COGS Matrix'!$J$24))</f>
        <v>0</v>
      </c>
      <c r="AE15" s="16">
        <f>IF($F15="None",0,$B15*IF($F15="None",0,IF($F15="Minimal",INDEX(Assumptions!$C$22:$E$22,1,MATCH($A15,Assumptions!$C$4:$E$4,0)),IF($F15="Standard",INDEX(Assumptions!$C$23:$E$23,1,MATCH($A15,Assumptions!$C$4:$E$4,0)),INDEX(Assumptions!$C$24:$E$24,1,MATCH($A15,Assumptions!$C$4:$E$4,0)))))*INDEX(Assumptions!$C$25:$E$25,1,MATCH($A15,Assumptions!$C$4:$E$4,0))/1000000*IF($F15="Minimal",INDEX(Assumptions!$C$27:$E$27,1,MATCH($A15,Assumptions!$C$4:$E$4,0)),IF($F15="Standard",INDEX(Assumptions!$C$29:$E$29,1,MATCH($A15,Assumptions!$C$4:$E$4,0)),INDEX(Assumptions!$C$31:$E$31,1,MATCH($A15,Assumptions!$C$4:$E$4,0))))+$B15*IF($F15="None",0,IF($F15="Minimal",INDEX(Assumptions!$C$22:$E$22,1,MATCH($A15,Assumptions!$C$4:$E$4,0)),IF($F15="Standard",INDEX(Assumptions!$C$23:$E$23,1,MATCH($A15,Assumptions!$C$4:$E$4,0)),INDEX(Assumptions!$C$24:$E$24,1,MATCH($A15,Assumptions!$C$4:$E$4,0)))))*INDEX(Assumptions!$C$26:$E$26,1,MATCH($A15,Assumptions!$C$4:$E$4,0))/1000000*IF($F15="Minimal",INDEX(Assumptions!$C$28:$E$28,1,MATCH($A15,Assumptions!$C$4:$E$4,0)),IF($F15="Standard",INDEX(Assumptions!$C$30:$E$30,1,MATCH($A15,Assumptions!$C$4:$E$4,0)),INDEX(Assumptions!$C$32:$E$32,1,MATCH($A15,Assumptions!$C$4:$E$4,0))))+$B15*INDEX(Assumptions!$C$33:$E$33,1,MATCH($A15,Assumptions!$C$4:$E$4,0))*INDEX(Assumptions!$C$34:$E$34,1,MATCH($A15,Assumptions!$C$4:$E$4,0)))</f>
        <v>111.5</v>
      </c>
      <c r="AF15" s="16">
        <f>INDEX(Assumptions!$C$19:$E$19,1,MATCH($A15,Assumptions!$C$4:$E$4,0))</f>
        <v>0</v>
      </c>
      <c r="AG15" s="16">
        <f>$C15*$I15*'COGS Matrix'!$I$30</f>
        <v>0</v>
      </c>
      <c r="AH15" s="16">
        <f>IF($A15="High",'COGS Matrix'!$I$31+IF($F15="Heavy",199,'COGS Matrix'!$I$32),0)</f>
        <v>0</v>
      </c>
      <c r="AI15" s="16">
        <f t="shared" si="7"/>
        <v>193.88200000000001</v>
      </c>
      <c r="AJ15" s="16">
        <f>$AI15*(1+INDEX(Assumptions!$C$44:$E$44,1,MATCH($A15,Assumptions!$C$4:$E$4,0)))*(1+INDEX(Assumptions!$C$45:$E$45,1,MATCH($A15,Assumptions!$C$4:$E$4,0)))</f>
        <v>267.55715999999995</v>
      </c>
      <c r="AK15" s="16">
        <f>0</f>
        <v>0</v>
      </c>
      <c r="AL15" s="16">
        <f t="shared" si="8"/>
        <v>8980</v>
      </c>
      <c r="AM15" s="16">
        <f>0</f>
        <v>0</v>
      </c>
    </row>
    <row r="16" spans="1:39" x14ac:dyDescent="0.35">
      <c r="A16" s="2" t="s">
        <v>5</v>
      </c>
      <c r="B16" s="2">
        <v>500</v>
      </c>
      <c r="C16" s="2">
        <v>100</v>
      </c>
      <c r="D16" s="2">
        <v>6</v>
      </c>
      <c r="E16" s="2" t="s">
        <v>490</v>
      </c>
      <c r="F16" s="2" t="s">
        <v>1132</v>
      </c>
      <c r="G16" s="2" t="s">
        <v>535</v>
      </c>
      <c r="H16" s="2" t="s">
        <v>683</v>
      </c>
      <c r="I16" s="2">
        <v>0</v>
      </c>
      <c r="J16" s="2">
        <v>0</v>
      </c>
      <c r="K16" s="11">
        <v>249</v>
      </c>
      <c r="L16" s="11">
        <v>8</v>
      </c>
      <c r="M16" s="15">
        <f t="shared" si="0"/>
        <v>267.55715999999995</v>
      </c>
      <c r="N16" s="15">
        <f>0</f>
        <v>0</v>
      </c>
      <c r="O16" s="15">
        <f t="shared" si="1"/>
        <v>267.55715999999995</v>
      </c>
      <c r="P16" s="15">
        <f t="shared" si="2"/>
        <v>28900</v>
      </c>
      <c r="Q16" s="14">
        <f t="shared" si="3"/>
        <v>0.99074196678200688</v>
      </c>
      <c r="R16" s="14">
        <f t="shared" si="4"/>
        <v>0.99074196678200688</v>
      </c>
      <c r="S16" s="15">
        <f>M16/(1-INDEX(Assumptions!$C$46:$E$46,1,MATCH($A16,Assumptions!$C$4:$E$4,0)))</f>
        <v>1337.7858000000001</v>
      </c>
      <c r="T16" s="15">
        <f t="shared" si="5"/>
        <v>0.53511431999999992</v>
      </c>
      <c r="U16" s="15">
        <f t="shared" si="6"/>
        <v>2.6755715999999996</v>
      </c>
      <c r="V16" s="15">
        <f>0</f>
        <v>0</v>
      </c>
      <c r="W16" s="15">
        <f>0</f>
        <v>0</v>
      </c>
      <c r="Y16" s="16">
        <f>$B16*$D16*INDEX(Assumptions!$C$10:$E$10,1,MATCH($A16,Assumptions!$C$4:$E$4,0))*IF($E16="Economical",INDEX(Assumptions!$C$13:$E$13,1,MATCH($A16,Assumptions!$C$4:$E$4,0)),IF($E16="Base incremental",INDEX(Assumptions!$C$14:$E$14,1,MATCH($A16,Assumptions!$C$4:$E$4,0)),INDEX(Assumptions!$C$15:$E$15,1,MATCH($A16,Assumptions!$C$4:$E$4,0))))*30*INDEX(Assumptions!$C$11:$E$11,1,MATCH($A16,Assumptions!$C$4:$E$4,0))</f>
        <v>9000000</v>
      </c>
      <c r="Z16" s="16">
        <f>$Y16/INDEX(Assumptions!$C$12:$E$12,1,MATCH($A16,Assumptions!$C$4:$E$4,0))+$C16*INDEX(Assumptions!$C$6:$E$6,1,MATCH($A16,Assumptions!$C$4:$E$4,0))*300</f>
        <v>330000</v>
      </c>
      <c r="AA16" s="16">
        <f>'COGS Matrix'!$I$9+MAX(0,($Z16-'COGS Matrix'!$J$10)/1000000)*'COGS Matrix'!$I$10+MAX(0,($Z16*INDEX(Assumptions!$C$16:$E$16,1,MATCH($A16,Assumptions!$C$4:$E$4,0))-'COGS Matrix'!$J$11)/1000000)*'COGS Matrix'!$I$11+MAX(0,($B16*$D16*IF($E16="Economical",INDEX(Assumptions!$C$13:$E$13,1,MATCH($A16,Assumptions!$C$4:$E$4,0)),IF($E16="Base incremental",INDEX(Assumptions!$C$14:$E$14,1,MATCH($A16,Assumptions!$C$4:$E$4,0)),INDEX(Assumptions!$C$15:$E$15,1,MATCH($A16,Assumptions!$C$4:$E$4,0))))*30*3-'COGS Matrix'!$J$12)/1000000)*'COGS Matrix'!$I$12+MAX(0,($Z16*INDEX(Assumptions!$C$17:$E$17,1,MATCH($A16,Assumptions!$C$4:$E$4,0))*INDEX(Assumptions!$C$18:$E$18,1,MATCH($A16,Assumptions!$C$4:$E$4,0))-'COGS Matrix'!$J$13)/1000000)*'COGS Matrix'!$I$13</f>
        <v>5.032</v>
      </c>
      <c r="AB16" s="16">
        <f>MAX(0,CEILING($B16*INDEX(Assumptions!$C$7:$E$7,1,MATCH($A16,Assumptions!$C$4:$E$4,0)),1)-'COGS Matrix'!$J$14)*'COGS Matrix'!$I$14+MAX(0,CEILING($Y16/1000000,1)-'COGS Matrix'!$J$15/1000000)*'COGS Matrix'!$I$15+MAX(0,CEILING($Z16/1000000,1)-'COGS Matrix'!$J$16/1000000)*'COGS Matrix'!$I$16</f>
        <v>50.85</v>
      </c>
      <c r="AC16" s="16">
        <f>IF($G16="BYO",0,IF($G16="Shared",1,IF($G16="Dedicated",$C16,0))*'COGS Matrix'!$I$17+IF($G16="Shared",1,IF($G16="Dedicated",$C16,0))*MAX(0,MAX(IF($Y16&lt;20000000,10,IF($Y16&lt;100000000,15,IF($Y16&lt;500000000,60,111))),IF($J16=1,15,0))-10)+MAX(0,$B16*INDEX(Assumptions!$C$8:$E$8,1,MATCH($A16,Assumptions!$C$4:$E$4,0))-8*IF($G16="Shared",1,IF($G16="Dedicated",$C16,0)))*'COGS Matrix'!$I$19+MAX(0,$B16*INDEX(Assumptions!$C$9:$E$9,1,MATCH($A16,Assumptions!$C$4:$E$4,0))-250*IF($G16="Shared",1,IF($G16="Dedicated",$C16,0)))*'COGS Matrix'!$I$20+$J16*730*IF($G16="Shared",1,IF($G16="Dedicated",$C16,0))*'COGS Matrix'!$I$21)</f>
        <v>26.5</v>
      </c>
      <c r="AD16" s="16">
        <f>IF(ROUNDUP($C16*$D16*INDEX(Assumptions!$C$20:$E$20,1,MATCH($A16,Assumptions!$C$4:$E$4,0)),0)=0,0,'COGS Matrix'!$I$24+MAX(0,ROUNDUP($C16*$D16*INDEX(Assumptions!$C$20:$E$20,1,MATCH($A16,Assumptions!$C$4:$E$4,0)),0)-'COGS Matrix'!$J$24))</f>
        <v>0</v>
      </c>
      <c r="AE16" s="16">
        <f>IF($F16="None",0,$B16*IF($F16="None",0,IF($F16="Minimal",INDEX(Assumptions!$C$22:$E$22,1,MATCH($A16,Assumptions!$C$4:$E$4,0)),IF($F16="Standard",INDEX(Assumptions!$C$23:$E$23,1,MATCH($A16,Assumptions!$C$4:$E$4,0)),INDEX(Assumptions!$C$24:$E$24,1,MATCH($A16,Assumptions!$C$4:$E$4,0)))))*INDEX(Assumptions!$C$25:$E$25,1,MATCH($A16,Assumptions!$C$4:$E$4,0))/1000000*IF($F16="Minimal",INDEX(Assumptions!$C$27:$E$27,1,MATCH($A16,Assumptions!$C$4:$E$4,0)),IF($F16="Standard",INDEX(Assumptions!$C$29:$E$29,1,MATCH($A16,Assumptions!$C$4:$E$4,0)),INDEX(Assumptions!$C$31:$E$31,1,MATCH($A16,Assumptions!$C$4:$E$4,0))))+$B16*IF($F16="None",0,IF($F16="Minimal",INDEX(Assumptions!$C$22:$E$22,1,MATCH($A16,Assumptions!$C$4:$E$4,0)),IF($F16="Standard",INDEX(Assumptions!$C$23:$E$23,1,MATCH($A16,Assumptions!$C$4:$E$4,0)),INDEX(Assumptions!$C$24:$E$24,1,MATCH($A16,Assumptions!$C$4:$E$4,0)))))*INDEX(Assumptions!$C$26:$E$26,1,MATCH($A16,Assumptions!$C$4:$E$4,0))/1000000*IF($F16="Minimal",INDEX(Assumptions!$C$28:$E$28,1,MATCH($A16,Assumptions!$C$4:$E$4,0)),IF($F16="Standard",INDEX(Assumptions!$C$30:$E$30,1,MATCH($A16,Assumptions!$C$4:$E$4,0)),INDEX(Assumptions!$C$32:$E$32,1,MATCH($A16,Assumptions!$C$4:$E$4,0))))+$B16*INDEX(Assumptions!$C$33:$E$33,1,MATCH($A16,Assumptions!$C$4:$E$4,0))*INDEX(Assumptions!$C$34:$E$34,1,MATCH($A16,Assumptions!$C$4:$E$4,0)))</f>
        <v>111.5</v>
      </c>
      <c r="AF16" s="16">
        <f>INDEX(Assumptions!$C$19:$E$19,1,MATCH($A16,Assumptions!$C$4:$E$4,0))</f>
        <v>0</v>
      </c>
      <c r="AG16" s="16">
        <f>$C16*$I16*'COGS Matrix'!$I$30</f>
        <v>0</v>
      </c>
      <c r="AH16" s="16">
        <f>IF($A16="High",'COGS Matrix'!$I$31+IF($F16="Heavy",199,'COGS Matrix'!$I$32),0)</f>
        <v>0</v>
      </c>
      <c r="AI16" s="16">
        <f t="shared" si="7"/>
        <v>193.88200000000001</v>
      </c>
      <c r="AJ16" s="16">
        <f>$AI16*(1+INDEX(Assumptions!$C$44:$E$44,1,MATCH($A16,Assumptions!$C$4:$E$4,0)))*(1+INDEX(Assumptions!$C$45:$E$45,1,MATCH($A16,Assumptions!$C$4:$E$4,0)))</f>
        <v>267.55715999999995</v>
      </c>
      <c r="AK16" s="16">
        <f>0</f>
        <v>0</v>
      </c>
      <c r="AL16" s="16">
        <f t="shared" si="8"/>
        <v>28900</v>
      </c>
      <c r="AM16" s="16">
        <f>0</f>
        <v>0</v>
      </c>
    </row>
    <row r="17" spans="1:39" x14ac:dyDescent="0.35">
      <c r="A17" s="2" t="s">
        <v>5</v>
      </c>
      <c r="B17" s="2">
        <v>2000</v>
      </c>
      <c r="C17" s="2">
        <v>1</v>
      </c>
      <c r="D17" s="2">
        <v>6</v>
      </c>
      <c r="E17" s="2" t="s">
        <v>490</v>
      </c>
      <c r="F17" s="2" t="s">
        <v>1132</v>
      </c>
      <c r="G17" s="2" t="s">
        <v>535</v>
      </c>
      <c r="H17" s="2" t="s">
        <v>683</v>
      </c>
      <c r="I17" s="2">
        <v>0</v>
      </c>
      <c r="J17" s="2">
        <v>0</v>
      </c>
      <c r="K17" s="11">
        <v>249</v>
      </c>
      <c r="L17" s="11">
        <v>8</v>
      </c>
      <c r="M17" s="15">
        <f t="shared" si="0"/>
        <v>1021.4456399999998</v>
      </c>
      <c r="N17" s="15">
        <f>0</f>
        <v>0</v>
      </c>
      <c r="O17" s="15">
        <f t="shared" si="1"/>
        <v>1021.4456399999998</v>
      </c>
      <c r="P17" s="15">
        <f t="shared" si="2"/>
        <v>16249</v>
      </c>
      <c r="Q17" s="14">
        <f t="shared" si="3"/>
        <v>0.93713793833466674</v>
      </c>
      <c r="R17" s="14">
        <f t="shared" si="4"/>
        <v>0.93713793833466674</v>
      </c>
      <c r="S17" s="15">
        <f>M17/(1-INDEX(Assumptions!$C$46:$E$46,1,MATCH($A17,Assumptions!$C$4:$E$4,0)))</f>
        <v>5107.2282000000005</v>
      </c>
      <c r="T17" s="15">
        <f t="shared" si="5"/>
        <v>0.51072281999999991</v>
      </c>
      <c r="U17" s="15">
        <f t="shared" si="6"/>
        <v>1021.4456399999998</v>
      </c>
      <c r="V17" s="15">
        <f>0</f>
        <v>0</v>
      </c>
      <c r="W17" s="15">
        <f>0</f>
        <v>0</v>
      </c>
      <c r="Y17" s="16">
        <f>$B17*$D17*INDEX(Assumptions!$C$10:$E$10,1,MATCH($A17,Assumptions!$C$4:$E$4,0))*IF($E17="Economical",INDEX(Assumptions!$C$13:$E$13,1,MATCH($A17,Assumptions!$C$4:$E$4,0)),IF($E17="Base incremental",INDEX(Assumptions!$C$14:$E$14,1,MATCH($A17,Assumptions!$C$4:$E$4,0)),INDEX(Assumptions!$C$15:$E$15,1,MATCH($A17,Assumptions!$C$4:$E$4,0))))*30*INDEX(Assumptions!$C$11:$E$11,1,MATCH($A17,Assumptions!$C$4:$E$4,0))</f>
        <v>36000000</v>
      </c>
      <c r="Z17" s="16">
        <f>$Y17/INDEX(Assumptions!$C$12:$E$12,1,MATCH($A17,Assumptions!$C$4:$E$4,0))+$C17*INDEX(Assumptions!$C$6:$E$6,1,MATCH($A17,Assumptions!$C$4:$E$4,0))*300</f>
        <v>362400</v>
      </c>
      <c r="AA17" s="16">
        <f>'COGS Matrix'!$I$9+MAX(0,($Z17-'COGS Matrix'!$J$10)/1000000)*'COGS Matrix'!$I$10+MAX(0,($Z17*INDEX(Assumptions!$C$16:$E$16,1,MATCH($A17,Assumptions!$C$4:$E$4,0))-'COGS Matrix'!$J$11)/1000000)*'COGS Matrix'!$I$11+MAX(0,($B17*$D17*IF($E17="Economical",INDEX(Assumptions!$C$13:$E$13,1,MATCH($A17,Assumptions!$C$4:$E$4,0)),IF($E17="Base incremental",INDEX(Assumptions!$C$14:$E$14,1,MATCH($A17,Assumptions!$C$4:$E$4,0)),INDEX(Assumptions!$C$15:$E$15,1,MATCH($A17,Assumptions!$C$4:$E$4,0))))*30*3-'COGS Matrix'!$J$12)/1000000)*'COGS Matrix'!$I$12+MAX(0,($Z17*INDEX(Assumptions!$C$17:$E$17,1,MATCH($A17,Assumptions!$C$4:$E$4,0))*INDEX(Assumptions!$C$18:$E$18,1,MATCH($A17,Assumptions!$C$4:$E$4,0))-'COGS Matrix'!$J$13)/1000000)*'COGS Matrix'!$I$13</f>
        <v>6.3280000000000003</v>
      </c>
      <c r="AB17" s="16">
        <f>MAX(0,CEILING($B17*INDEX(Assumptions!$C$7:$E$7,1,MATCH($A17,Assumptions!$C$4:$E$4,0)),1)-'COGS Matrix'!$J$14)*'COGS Matrix'!$I$14+MAX(0,CEILING($Y17/1000000,1)-'COGS Matrix'!$J$15/1000000)*'COGS Matrix'!$I$15+MAX(0,CEILING($Z17/1000000,1)-'COGS Matrix'!$J$16/1000000)*'COGS Matrix'!$I$16</f>
        <v>217.35</v>
      </c>
      <c r="AC17" s="16">
        <f>IF($G17="BYO",0,IF($G17="Shared",1,IF($G17="Dedicated",$C17,0))*'COGS Matrix'!$I$17+IF($G17="Shared",1,IF($G17="Dedicated",$C17,0))*MAX(0,MAX(IF($Y17&lt;20000000,10,IF($Y17&lt;100000000,15,IF($Y17&lt;500000000,60,111))),IF($J17=1,15,0))-10)+MAX(0,$B17*INDEX(Assumptions!$C$8:$E$8,1,MATCH($A17,Assumptions!$C$4:$E$4,0))-8*IF($G17="Shared",1,IF($G17="Dedicated",$C17,0)))*'COGS Matrix'!$I$19+MAX(0,$B17*INDEX(Assumptions!$C$9:$E$9,1,MATCH($A17,Assumptions!$C$4:$E$4,0))-250*IF($G17="Shared",1,IF($G17="Dedicated",$C17,0)))*'COGS Matrix'!$I$20+$J17*730*IF($G17="Shared",1,IF($G17="Dedicated",$C17,0))*'COGS Matrix'!$I$21)</f>
        <v>70.5</v>
      </c>
      <c r="AD17" s="16">
        <f>IF(ROUNDUP($C17*$D17*INDEX(Assumptions!$C$20:$E$20,1,MATCH($A17,Assumptions!$C$4:$E$4,0)),0)=0,0,'COGS Matrix'!$I$24+MAX(0,ROUNDUP($C17*$D17*INDEX(Assumptions!$C$20:$E$20,1,MATCH($A17,Assumptions!$C$4:$E$4,0)),0)-'COGS Matrix'!$J$24))</f>
        <v>0</v>
      </c>
      <c r="AE17" s="16">
        <f>IF($F17="None",0,$B17*IF($F17="None",0,IF($F17="Minimal",INDEX(Assumptions!$C$22:$E$22,1,MATCH($A17,Assumptions!$C$4:$E$4,0)),IF($F17="Standard",INDEX(Assumptions!$C$23:$E$23,1,MATCH($A17,Assumptions!$C$4:$E$4,0)),INDEX(Assumptions!$C$24:$E$24,1,MATCH($A17,Assumptions!$C$4:$E$4,0)))))*INDEX(Assumptions!$C$25:$E$25,1,MATCH($A17,Assumptions!$C$4:$E$4,0))/1000000*IF($F17="Minimal",INDEX(Assumptions!$C$27:$E$27,1,MATCH($A17,Assumptions!$C$4:$E$4,0)),IF($F17="Standard",INDEX(Assumptions!$C$29:$E$29,1,MATCH($A17,Assumptions!$C$4:$E$4,0)),INDEX(Assumptions!$C$31:$E$31,1,MATCH($A17,Assumptions!$C$4:$E$4,0))))+$B17*IF($F17="None",0,IF($F17="Minimal",INDEX(Assumptions!$C$22:$E$22,1,MATCH($A17,Assumptions!$C$4:$E$4,0)),IF($F17="Standard",INDEX(Assumptions!$C$23:$E$23,1,MATCH($A17,Assumptions!$C$4:$E$4,0)),INDEX(Assumptions!$C$24:$E$24,1,MATCH($A17,Assumptions!$C$4:$E$4,0)))))*INDEX(Assumptions!$C$26:$E$26,1,MATCH($A17,Assumptions!$C$4:$E$4,0))/1000000*IF($F17="Minimal",INDEX(Assumptions!$C$28:$E$28,1,MATCH($A17,Assumptions!$C$4:$E$4,0)),IF($F17="Standard",INDEX(Assumptions!$C$30:$E$30,1,MATCH($A17,Assumptions!$C$4:$E$4,0)),INDEX(Assumptions!$C$32:$E$32,1,MATCH($A17,Assumptions!$C$4:$E$4,0))))+$B17*INDEX(Assumptions!$C$33:$E$33,1,MATCH($A17,Assumptions!$C$4:$E$4,0))*INDEX(Assumptions!$C$34:$E$34,1,MATCH($A17,Assumptions!$C$4:$E$4,0)))</f>
        <v>446</v>
      </c>
      <c r="AF17" s="16">
        <f>INDEX(Assumptions!$C$19:$E$19,1,MATCH($A17,Assumptions!$C$4:$E$4,0))</f>
        <v>0</v>
      </c>
      <c r="AG17" s="16">
        <f>$C17*$I17*'COGS Matrix'!$I$30</f>
        <v>0</v>
      </c>
      <c r="AH17" s="16">
        <f>IF($A17="High",'COGS Matrix'!$I$31+IF($F17="Heavy",199,'COGS Matrix'!$I$32),0)</f>
        <v>0</v>
      </c>
      <c r="AI17" s="16">
        <f t="shared" si="7"/>
        <v>740.178</v>
      </c>
      <c r="AJ17" s="16">
        <f>$AI17*(1+INDEX(Assumptions!$C$44:$E$44,1,MATCH($A17,Assumptions!$C$4:$E$4,0)))*(1+INDEX(Assumptions!$C$45:$E$45,1,MATCH($A17,Assumptions!$C$4:$E$4,0)))</f>
        <v>1021.4456399999998</v>
      </c>
      <c r="AK17" s="16">
        <f>0</f>
        <v>0</v>
      </c>
      <c r="AL17" s="16">
        <f t="shared" si="8"/>
        <v>16249</v>
      </c>
      <c r="AM17" s="16">
        <f>0</f>
        <v>0</v>
      </c>
    </row>
    <row r="18" spans="1:39" x14ac:dyDescent="0.35">
      <c r="A18" s="2" t="s">
        <v>5</v>
      </c>
      <c r="B18" s="2">
        <v>2000</v>
      </c>
      <c r="C18" s="2">
        <v>5</v>
      </c>
      <c r="D18" s="2">
        <v>6</v>
      </c>
      <c r="E18" s="2" t="s">
        <v>490</v>
      </c>
      <c r="F18" s="2" t="s">
        <v>1132</v>
      </c>
      <c r="G18" s="2" t="s">
        <v>535</v>
      </c>
      <c r="H18" s="2" t="s">
        <v>683</v>
      </c>
      <c r="I18" s="2">
        <v>0</v>
      </c>
      <c r="J18" s="2">
        <v>0</v>
      </c>
      <c r="K18" s="11">
        <v>249</v>
      </c>
      <c r="L18" s="11">
        <v>8</v>
      </c>
      <c r="M18" s="15">
        <f t="shared" si="0"/>
        <v>1021.4456399999998</v>
      </c>
      <c r="N18" s="15">
        <f>0</f>
        <v>0</v>
      </c>
      <c r="O18" s="15">
        <f t="shared" si="1"/>
        <v>1021.4456399999998</v>
      </c>
      <c r="P18" s="15">
        <f t="shared" si="2"/>
        <v>17245</v>
      </c>
      <c r="Q18" s="14">
        <f t="shared" si="3"/>
        <v>0.94076859147579006</v>
      </c>
      <c r="R18" s="14">
        <f t="shared" si="4"/>
        <v>0.94076859147579006</v>
      </c>
      <c r="S18" s="15">
        <f>M18/(1-INDEX(Assumptions!$C$46:$E$46,1,MATCH($A18,Assumptions!$C$4:$E$4,0)))</f>
        <v>5107.2282000000005</v>
      </c>
      <c r="T18" s="15">
        <f t="shared" si="5"/>
        <v>0.51072281999999991</v>
      </c>
      <c r="U18" s="15">
        <f t="shared" si="6"/>
        <v>204.28912799999995</v>
      </c>
      <c r="V18" s="15">
        <f>0</f>
        <v>0</v>
      </c>
      <c r="W18" s="15">
        <f>0</f>
        <v>0</v>
      </c>
      <c r="Y18" s="16">
        <f>$B18*$D18*INDEX(Assumptions!$C$10:$E$10,1,MATCH($A18,Assumptions!$C$4:$E$4,0))*IF($E18="Economical",INDEX(Assumptions!$C$13:$E$13,1,MATCH($A18,Assumptions!$C$4:$E$4,0)),IF($E18="Base incremental",INDEX(Assumptions!$C$14:$E$14,1,MATCH($A18,Assumptions!$C$4:$E$4,0)),INDEX(Assumptions!$C$15:$E$15,1,MATCH($A18,Assumptions!$C$4:$E$4,0))))*30*INDEX(Assumptions!$C$11:$E$11,1,MATCH($A18,Assumptions!$C$4:$E$4,0))</f>
        <v>36000000</v>
      </c>
      <c r="Z18" s="16">
        <f>$Y18/INDEX(Assumptions!$C$12:$E$12,1,MATCH($A18,Assumptions!$C$4:$E$4,0))+$C18*INDEX(Assumptions!$C$6:$E$6,1,MATCH($A18,Assumptions!$C$4:$E$4,0))*300</f>
        <v>372000</v>
      </c>
      <c r="AA18" s="16">
        <f>'COGS Matrix'!$I$9+MAX(0,($Z18-'COGS Matrix'!$J$10)/1000000)*'COGS Matrix'!$I$10+MAX(0,($Z18*INDEX(Assumptions!$C$16:$E$16,1,MATCH($A18,Assumptions!$C$4:$E$4,0))-'COGS Matrix'!$J$11)/1000000)*'COGS Matrix'!$I$11+MAX(0,($B18*$D18*IF($E18="Economical",INDEX(Assumptions!$C$13:$E$13,1,MATCH($A18,Assumptions!$C$4:$E$4,0)),IF($E18="Base incremental",INDEX(Assumptions!$C$14:$E$14,1,MATCH($A18,Assumptions!$C$4:$E$4,0)),INDEX(Assumptions!$C$15:$E$15,1,MATCH($A18,Assumptions!$C$4:$E$4,0))))*30*3-'COGS Matrix'!$J$12)/1000000)*'COGS Matrix'!$I$12+MAX(0,($Z18*INDEX(Assumptions!$C$17:$E$17,1,MATCH($A18,Assumptions!$C$4:$E$4,0))*INDEX(Assumptions!$C$18:$E$18,1,MATCH($A18,Assumptions!$C$4:$E$4,0))-'COGS Matrix'!$J$13)/1000000)*'COGS Matrix'!$I$13</f>
        <v>6.3280000000000003</v>
      </c>
      <c r="AB18" s="16">
        <f>MAX(0,CEILING($B18*INDEX(Assumptions!$C$7:$E$7,1,MATCH($A18,Assumptions!$C$4:$E$4,0)),1)-'COGS Matrix'!$J$14)*'COGS Matrix'!$I$14+MAX(0,CEILING($Y18/1000000,1)-'COGS Matrix'!$J$15/1000000)*'COGS Matrix'!$I$15+MAX(0,CEILING($Z18/1000000,1)-'COGS Matrix'!$J$16/1000000)*'COGS Matrix'!$I$16</f>
        <v>217.35</v>
      </c>
      <c r="AC18" s="16">
        <f>IF($G18="BYO",0,IF($G18="Shared",1,IF($G18="Dedicated",$C18,0))*'COGS Matrix'!$I$17+IF($G18="Shared",1,IF($G18="Dedicated",$C18,0))*MAX(0,MAX(IF($Y18&lt;20000000,10,IF($Y18&lt;100000000,15,IF($Y18&lt;500000000,60,111))),IF($J18=1,15,0))-10)+MAX(0,$B18*INDEX(Assumptions!$C$8:$E$8,1,MATCH($A18,Assumptions!$C$4:$E$4,0))-8*IF($G18="Shared",1,IF($G18="Dedicated",$C18,0)))*'COGS Matrix'!$I$19+MAX(0,$B18*INDEX(Assumptions!$C$9:$E$9,1,MATCH($A18,Assumptions!$C$4:$E$4,0))-250*IF($G18="Shared",1,IF($G18="Dedicated",$C18,0)))*'COGS Matrix'!$I$20+$J18*730*IF($G18="Shared",1,IF($G18="Dedicated",$C18,0))*'COGS Matrix'!$I$21)</f>
        <v>70.5</v>
      </c>
      <c r="AD18" s="16">
        <f>IF(ROUNDUP($C18*$D18*INDEX(Assumptions!$C$20:$E$20,1,MATCH($A18,Assumptions!$C$4:$E$4,0)),0)=0,0,'COGS Matrix'!$I$24+MAX(0,ROUNDUP($C18*$D18*INDEX(Assumptions!$C$20:$E$20,1,MATCH($A18,Assumptions!$C$4:$E$4,0)),0)-'COGS Matrix'!$J$24))</f>
        <v>0</v>
      </c>
      <c r="AE18" s="16">
        <f>IF($F18="None",0,$B18*IF($F18="None",0,IF($F18="Minimal",INDEX(Assumptions!$C$22:$E$22,1,MATCH($A18,Assumptions!$C$4:$E$4,0)),IF($F18="Standard",INDEX(Assumptions!$C$23:$E$23,1,MATCH($A18,Assumptions!$C$4:$E$4,0)),INDEX(Assumptions!$C$24:$E$24,1,MATCH($A18,Assumptions!$C$4:$E$4,0)))))*INDEX(Assumptions!$C$25:$E$25,1,MATCH($A18,Assumptions!$C$4:$E$4,0))/1000000*IF($F18="Minimal",INDEX(Assumptions!$C$27:$E$27,1,MATCH($A18,Assumptions!$C$4:$E$4,0)),IF($F18="Standard",INDEX(Assumptions!$C$29:$E$29,1,MATCH($A18,Assumptions!$C$4:$E$4,0)),INDEX(Assumptions!$C$31:$E$31,1,MATCH($A18,Assumptions!$C$4:$E$4,0))))+$B18*IF($F18="None",0,IF($F18="Minimal",INDEX(Assumptions!$C$22:$E$22,1,MATCH($A18,Assumptions!$C$4:$E$4,0)),IF($F18="Standard",INDEX(Assumptions!$C$23:$E$23,1,MATCH($A18,Assumptions!$C$4:$E$4,0)),INDEX(Assumptions!$C$24:$E$24,1,MATCH($A18,Assumptions!$C$4:$E$4,0)))))*INDEX(Assumptions!$C$26:$E$26,1,MATCH($A18,Assumptions!$C$4:$E$4,0))/1000000*IF($F18="Minimal",INDEX(Assumptions!$C$28:$E$28,1,MATCH($A18,Assumptions!$C$4:$E$4,0)),IF($F18="Standard",INDEX(Assumptions!$C$30:$E$30,1,MATCH($A18,Assumptions!$C$4:$E$4,0)),INDEX(Assumptions!$C$32:$E$32,1,MATCH($A18,Assumptions!$C$4:$E$4,0))))+$B18*INDEX(Assumptions!$C$33:$E$33,1,MATCH($A18,Assumptions!$C$4:$E$4,0))*INDEX(Assumptions!$C$34:$E$34,1,MATCH($A18,Assumptions!$C$4:$E$4,0)))</f>
        <v>446</v>
      </c>
      <c r="AF18" s="16">
        <f>INDEX(Assumptions!$C$19:$E$19,1,MATCH($A18,Assumptions!$C$4:$E$4,0))</f>
        <v>0</v>
      </c>
      <c r="AG18" s="16">
        <f>$C18*$I18*'COGS Matrix'!$I$30</f>
        <v>0</v>
      </c>
      <c r="AH18" s="16">
        <f>IF($A18="High",'COGS Matrix'!$I$31+IF($F18="Heavy",199,'COGS Matrix'!$I$32),0)</f>
        <v>0</v>
      </c>
      <c r="AI18" s="16">
        <f t="shared" si="7"/>
        <v>740.178</v>
      </c>
      <c r="AJ18" s="16">
        <f>$AI18*(1+INDEX(Assumptions!$C$44:$E$44,1,MATCH($A18,Assumptions!$C$4:$E$4,0)))*(1+INDEX(Assumptions!$C$45:$E$45,1,MATCH($A18,Assumptions!$C$4:$E$4,0)))</f>
        <v>1021.4456399999998</v>
      </c>
      <c r="AK18" s="16">
        <f>0</f>
        <v>0</v>
      </c>
      <c r="AL18" s="16">
        <f t="shared" si="8"/>
        <v>17245</v>
      </c>
      <c r="AM18" s="16">
        <f>0</f>
        <v>0</v>
      </c>
    </row>
    <row r="19" spans="1:39" x14ac:dyDescent="0.35">
      <c r="A19" s="2" t="s">
        <v>5</v>
      </c>
      <c r="B19" s="2">
        <v>2000</v>
      </c>
      <c r="C19" s="2">
        <v>20</v>
      </c>
      <c r="D19" s="2">
        <v>6</v>
      </c>
      <c r="E19" s="2" t="s">
        <v>490</v>
      </c>
      <c r="F19" s="2" t="s">
        <v>1132</v>
      </c>
      <c r="G19" s="2" t="s">
        <v>535</v>
      </c>
      <c r="H19" s="2" t="s">
        <v>683</v>
      </c>
      <c r="I19" s="2">
        <v>0</v>
      </c>
      <c r="J19" s="2">
        <v>0</v>
      </c>
      <c r="K19" s="11">
        <v>249</v>
      </c>
      <c r="L19" s="11">
        <v>8</v>
      </c>
      <c r="M19" s="15">
        <f t="shared" si="0"/>
        <v>1021.4456399999998</v>
      </c>
      <c r="N19" s="15">
        <f>0</f>
        <v>0</v>
      </c>
      <c r="O19" s="15">
        <f t="shared" si="1"/>
        <v>1021.4456399999998</v>
      </c>
      <c r="P19" s="15">
        <f t="shared" si="2"/>
        <v>20980</v>
      </c>
      <c r="Q19" s="14">
        <f t="shared" si="3"/>
        <v>0.9513133632030506</v>
      </c>
      <c r="R19" s="14">
        <f t="shared" si="4"/>
        <v>0.9513133632030506</v>
      </c>
      <c r="S19" s="15">
        <f>M19/(1-INDEX(Assumptions!$C$46:$E$46,1,MATCH($A19,Assumptions!$C$4:$E$4,0)))</f>
        <v>5107.2282000000005</v>
      </c>
      <c r="T19" s="15">
        <f t="shared" si="5"/>
        <v>0.51072281999999991</v>
      </c>
      <c r="U19" s="15">
        <f t="shared" si="6"/>
        <v>51.072281999999987</v>
      </c>
      <c r="V19" s="15">
        <f>0</f>
        <v>0</v>
      </c>
      <c r="W19" s="15">
        <f>0</f>
        <v>0</v>
      </c>
      <c r="Y19" s="16">
        <f>$B19*$D19*INDEX(Assumptions!$C$10:$E$10,1,MATCH($A19,Assumptions!$C$4:$E$4,0))*IF($E19="Economical",INDEX(Assumptions!$C$13:$E$13,1,MATCH($A19,Assumptions!$C$4:$E$4,0)),IF($E19="Base incremental",INDEX(Assumptions!$C$14:$E$14,1,MATCH($A19,Assumptions!$C$4:$E$4,0)),INDEX(Assumptions!$C$15:$E$15,1,MATCH($A19,Assumptions!$C$4:$E$4,0))))*30*INDEX(Assumptions!$C$11:$E$11,1,MATCH($A19,Assumptions!$C$4:$E$4,0))</f>
        <v>36000000</v>
      </c>
      <c r="Z19" s="16">
        <f>$Y19/INDEX(Assumptions!$C$12:$E$12,1,MATCH($A19,Assumptions!$C$4:$E$4,0))+$C19*INDEX(Assumptions!$C$6:$E$6,1,MATCH($A19,Assumptions!$C$4:$E$4,0))*300</f>
        <v>408000</v>
      </c>
      <c r="AA19" s="16">
        <f>'COGS Matrix'!$I$9+MAX(0,($Z19-'COGS Matrix'!$J$10)/1000000)*'COGS Matrix'!$I$10+MAX(0,($Z19*INDEX(Assumptions!$C$16:$E$16,1,MATCH($A19,Assumptions!$C$4:$E$4,0))-'COGS Matrix'!$J$11)/1000000)*'COGS Matrix'!$I$11+MAX(0,($B19*$D19*IF($E19="Economical",INDEX(Assumptions!$C$13:$E$13,1,MATCH($A19,Assumptions!$C$4:$E$4,0)),IF($E19="Base incremental",INDEX(Assumptions!$C$14:$E$14,1,MATCH($A19,Assumptions!$C$4:$E$4,0)),INDEX(Assumptions!$C$15:$E$15,1,MATCH($A19,Assumptions!$C$4:$E$4,0))))*30*3-'COGS Matrix'!$J$12)/1000000)*'COGS Matrix'!$I$12+MAX(0,($Z19*INDEX(Assumptions!$C$17:$E$17,1,MATCH($A19,Assumptions!$C$4:$E$4,0))*INDEX(Assumptions!$C$18:$E$18,1,MATCH($A19,Assumptions!$C$4:$E$4,0))-'COGS Matrix'!$J$13)/1000000)*'COGS Matrix'!$I$13</f>
        <v>6.3280000000000003</v>
      </c>
      <c r="AB19" s="16">
        <f>MAX(0,CEILING($B19*INDEX(Assumptions!$C$7:$E$7,1,MATCH($A19,Assumptions!$C$4:$E$4,0)),1)-'COGS Matrix'!$J$14)*'COGS Matrix'!$I$14+MAX(0,CEILING($Y19/1000000,1)-'COGS Matrix'!$J$15/1000000)*'COGS Matrix'!$I$15+MAX(0,CEILING($Z19/1000000,1)-'COGS Matrix'!$J$16/1000000)*'COGS Matrix'!$I$16</f>
        <v>217.35</v>
      </c>
      <c r="AC19" s="16">
        <f>IF($G19="BYO",0,IF($G19="Shared",1,IF($G19="Dedicated",$C19,0))*'COGS Matrix'!$I$17+IF($G19="Shared",1,IF($G19="Dedicated",$C19,0))*MAX(0,MAX(IF($Y19&lt;20000000,10,IF($Y19&lt;100000000,15,IF($Y19&lt;500000000,60,111))),IF($J19=1,15,0))-10)+MAX(0,$B19*INDEX(Assumptions!$C$8:$E$8,1,MATCH($A19,Assumptions!$C$4:$E$4,0))-8*IF($G19="Shared",1,IF($G19="Dedicated",$C19,0)))*'COGS Matrix'!$I$19+MAX(0,$B19*INDEX(Assumptions!$C$9:$E$9,1,MATCH($A19,Assumptions!$C$4:$E$4,0))-250*IF($G19="Shared",1,IF($G19="Dedicated",$C19,0)))*'COGS Matrix'!$I$20+$J19*730*IF($G19="Shared",1,IF($G19="Dedicated",$C19,0))*'COGS Matrix'!$I$21)</f>
        <v>70.5</v>
      </c>
      <c r="AD19" s="16">
        <f>IF(ROUNDUP($C19*$D19*INDEX(Assumptions!$C$20:$E$20,1,MATCH($A19,Assumptions!$C$4:$E$4,0)),0)=0,0,'COGS Matrix'!$I$24+MAX(0,ROUNDUP($C19*$D19*INDEX(Assumptions!$C$20:$E$20,1,MATCH($A19,Assumptions!$C$4:$E$4,0)),0)-'COGS Matrix'!$J$24))</f>
        <v>0</v>
      </c>
      <c r="AE19" s="16">
        <f>IF($F19="None",0,$B19*IF($F19="None",0,IF($F19="Minimal",INDEX(Assumptions!$C$22:$E$22,1,MATCH($A19,Assumptions!$C$4:$E$4,0)),IF($F19="Standard",INDEX(Assumptions!$C$23:$E$23,1,MATCH($A19,Assumptions!$C$4:$E$4,0)),INDEX(Assumptions!$C$24:$E$24,1,MATCH($A19,Assumptions!$C$4:$E$4,0)))))*INDEX(Assumptions!$C$25:$E$25,1,MATCH($A19,Assumptions!$C$4:$E$4,0))/1000000*IF($F19="Minimal",INDEX(Assumptions!$C$27:$E$27,1,MATCH($A19,Assumptions!$C$4:$E$4,0)),IF($F19="Standard",INDEX(Assumptions!$C$29:$E$29,1,MATCH($A19,Assumptions!$C$4:$E$4,0)),INDEX(Assumptions!$C$31:$E$31,1,MATCH($A19,Assumptions!$C$4:$E$4,0))))+$B19*IF($F19="None",0,IF($F19="Minimal",INDEX(Assumptions!$C$22:$E$22,1,MATCH($A19,Assumptions!$C$4:$E$4,0)),IF($F19="Standard",INDEX(Assumptions!$C$23:$E$23,1,MATCH($A19,Assumptions!$C$4:$E$4,0)),INDEX(Assumptions!$C$24:$E$24,1,MATCH($A19,Assumptions!$C$4:$E$4,0)))))*INDEX(Assumptions!$C$26:$E$26,1,MATCH($A19,Assumptions!$C$4:$E$4,0))/1000000*IF($F19="Minimal",INDEX(Assumptions!$C$28:$E$28,1,MATCH($A19,Assumptions!$C$4:$E$4,0)),IF($F19="Standard",INDEX(Assumptions!$C$30:$E$30,1,MATCH($A19,Assumptions!$C$4:$E$4,0)),INDEX(Assumptions!$C$32:$E$32,1,MATCH($A19,Assumptions!$C$4:$E$4,0))))+$B19*INDEX(Assumptions!$C$33:$E$33,1,MATCH($A19,Assumptions!$C$4:$E$4,0))*INDEX(Assumptions!$C$34:$E$34,1,MATCH($A19,Assumptions!$C$4:$E$4,0)))</f>
        <v>446</v>
      </c>
      <c r="AF19" s="16">
        <f>INDEX(Assumptions!$C$19:$E$19,1,MATCH($A19,Assumptions!$C$4:$E$4,0))</f>
        <v>0</v>
      </c>
      <c r="AG19" s="16">
        <f>$C19*$I19*'COGS Matrix'!$I$30</f>
        <v>0</v>
      </c>
      <c r="AH19" s="16">
        <f>IF($A19="High",'COGS Matrix'!$I$31+IF($F19="Heavy",199,'COGS Matrix'!$I$32),0)</f>
        <v>0</v>
      </c>
      <c r="AI19" s="16">
        <f t="shared" si="7"/>
        <v>740.178</v>
      </c>
      <c r="AJ19" s="16">
        <f>$AI19*(1+INDEX(Assumptions!$C$44:$E$44,1,MATCH($A19,Assumptions!$C$4:$E$4,0)))*(1+INDEX(Assumptions!$C$45:$E$45,1,MATCH($A19,Assumptions!$C$4:$E$4,0)))</f>
        <v>1021.4456399999998</v>
      </c>
      <c r="AK19" s="16">
        <f>0</f>
        <v>0</v>
      </c>
      <c r="AL19" s="16">
        <f t="shared" si="8"/>
        <v>20980</v>
      </c>
      <c r="AM19" s="16">
        <f>0</f>
        <v>0</v>
      </c>
    </row>
    <row r="20" spans="1:39" x14ac:dyDescent="0.35">
      <c r="A20" s="2" t="s">
        <v>5</v>
      </c>
      <c r="B20" s="2">
        <v>2000</v>
      </c>
      <c r="C20" s="2">
        <v>100</v>
      </c>
      <c r="D20" s="2">
        <v>6</v>
      </c>
      <c r="E20" s="2" t="s">
        <v>490</v>
      </c>
      <c r="F20" s="2" t="s">
        <v>1132</v>
      </c>
      <c r="G20" s="2" t="s">
        <v>535</v>
      </c>
      <c r="H20" s="2" t="s">
        <v>683</v>
      </c>
      <c r="I20" s="2">
        <v>0</v>
      </c>
      <c r="J20" s="2">
        <v>0</v>
      </c>
      <c r="K20" s="11">
        <v>249</v>
      </c>
      <c r="L20" s="11">
        <v>8</v>
      </c>
      <c r="M20" s="15">
        <f t="shared" si="0"/>
        <v>1021.4456399999998</v>
      </c>
      <c r="N20" s="15">
        <f>0</f>
        <v>0</v>
      </c>
      <c r="O20" s="15">
        <f t="shared" si="1"/>
        <v>1021.4456399999998</v>
      </c>
      <c r="P20" s="15">
        <f t="shared" si="2"/>
        <v>40900</v>
      </c>
      <c r="Q20" s="14">
        <f t="shared" si="3"/>
        <v>0.97502577897310516</v>
      </c>
      <c r="R20" s="14">
        <f t="shared" si="4"/>
        <v>0.97502577897310516</v>
      </c>
      <c r="S20" s="15">
        <f>M20/(1-INDEX(Assumptions!$C$46:$E$46,1,MATCH($A20,Assumptions!$C$4:$E$4,0)))</f>
        <v>5107.2282000000005</v>
      </c>
      <c r="T20" s="15">
        <f t="shared" si="5"/>
        <v>0.51072281999999991</v>
      </c>
      <c r="U20" s="15">
        <f t="shared" si="6"/>
        <v>10.214456399999998</v>
      </c>
      <c r="V20" s="15">
        <f>0</f>
        <v>0</v>
      </c>
      <c r="W20" s="15">
        <f>0</f>
        <v>0</v>
      </c>
      <c r="Y20" s="16">
        <f>$B20*$D20*INDEX(Assumptions!$C$10:$E$10,1,MATCH($A20,Assumptions!$C$4:$E$4,0))*IF($E20="Economical",INDEX(Assumptions!$C$13:$E$13,1,MATCH($A20,Assumptions!$C$4:$E$4,0)),IF($E20="Base incremental",INDEX(Assumptions!$C$14:$E$14,1,MATCH($A20,Assumptions!$C$4:$E$4,0)),INDEX(Assumptions!$C$15:$E$15,1,MATCH($A20,Assumptions!$C$4:$E$4,0))))*30*INDEX(Assumptions!$C$11:$E$11,1,MATCH($A20,Assumptions!$C$4:$E$4,0))</f>
        <v>36000000</v>
      </c>
      <c r="Z20" s="16">
        <f>$Y20/INDEX(Assumptions!$C$12:$E$12,1,MATCH($A20,Assumptions!$C$4:$E$4,0))+$C20*INDEX(Assumptions!$C$6:$E$6,1,MATCH($A20,Assumptions!$C$4:$E$4,0))*300</f>
        <v>600000</v>
      </c>
      <c r="AA20" s="16">
        <f>'COGS Matrix'!$I$9+MAX(0,($Z20-'COGS Matrix'!$J$10)/1000000)*'COGS Matrix'!$I$10+MAX(0,($Z20*INDEX(Assumptions!$C$16:$E$16,1,MATCH($A20,Assumptions!$C$4:$E$4,0))-'COGS Matrix'!$J$11)/1000000)*'COGS Matrix'!$I$11+MAX(0,($B20*$D20*IF($E20="Economical",INDEX(Assumptions!$C$13:$E$13,1,MATCH($A20,Assumptions!$C$4:$E$4,0)),IF($E20="Base incremental",INDEX(Assumptions!$C$14:$E$14,1,MATCH($A20,Assumptions!$C$4:$E$4,0)),INDEX(Assumptions!$C$15:$E$15,1,MATCH($A20,Assumptions!$C$4:$E$4,0))))*30*3-'COGS Matrix'!$J$12)/1000000)*'COGS Matrix'!$I$12+MAX(0,($Z20*INDEX(Assumptions!$C$17:$E$17,1,MATCH($A20,Assumptions!$C$4:$E$4,0))*INDEX(Assumptions!$C$18:$E$18,1,MATCH($A20,Assumptions!$C$4:$E$4,0))-'COGS Matrix'!$J$13)/1000000)*'COGS Matrix'!$I$13</f>
        <v>6.3280000000000003</v>
      </c>
      <c r="AB20" s="16">
        <f>MAX(0,CEILING($B20*INDEX(Assumptions!$C$7:$E$7,1,MATCH($A20,Assumptions!$C$4:$E$4,0)),1)-'COGS Matrix'!$J$14)*'COGS Matrix'!$I$14+MAX(0,CEILING($Y20/1000000,1)-'COGS Matrix'!$J$15/1000000)*'COGS Matrix'!$I$15+MAX(0,CEILING($Z20/1000000,1)-'COGS Matrix'!$J$16/1000000)*'COGS Matrix'!$I$16</f>
        <v>217.35</v>
      </c>
      <c r="AC20" s="16">
        <f>IF($G20="BYO",0,IF($G20="Shared",1,IF($G20="Dedicated",$C20,0))*'COGS Matrix'!$I$17+IF($G20="Shared",1,IF($G20="Dedicated",$C20,0))*MAX(0,MAX(IF($Y20&lt;20000000,10,IF($Y20&lt;100000000,15,IF($Y20&lt;500000000,60,111))),IF($J20=1,15,0))-10)+MAX(0,$B20*INDEX(Assumptions!$C$8:$E$8,1,MATCH($A20,Assumptions!$C$4:$E$4,0))-8*IF($G20="Shared",1,IF($G20="Dedicated",$C20,0)))*'COGS Matrix'!$I$19+MAX(0,$B20*INDEX(Assumptions!$C$9:$E$9,1,MATCH($A20,Assumptions!$C$4:$E$4,0))-250*IF($G20="Shared",1,IF($G20="Dedicated",$C20,0)))*'COGS Matrix'!$I$20+$J20*730*IF($G20="Shared",1,IF($G20="Dedicated",$C20,0))*'COGS Matrix'!$I$21)</f>
        <v>70.5</v>
      </c>
      <c r="AD20" s="16">
        <f>IF(ROUNDUP($C20*$D20*INDEX(Assumptions!$C$20:$E$20,1,MATCH($A20,Assumptions!$C$4:$E$4,0)),0)=0,0,'COGS Matrix'!$I$24+MAX(0,ROUNDUP($C20*$D20*INDEX(Assumptions!$C$20:$E$20,1,MATCH($A20,Assumptions!$C$4:$E$4,0)),0)-'COGS Matrix'!$J$24))</f>
        <v>0</v>
      </c>
      <c r="AE20" s="16">
        <f>IF($F20="None",0,$B20*IF($F20="None",0,IF($F20="Minimal",INDEX(Assumptions!$C$22:$E$22,1,MATCH($A20,Assumptions!$C$4:$E$4,0)),IF($F20="Standard",INDEX(Assumptions!$C$23:$E$23,1,MATCH($A20,Assumptions!$C$4:$E$4,0)),INDEX(Assumptions!$C$24:$E$24,1,MATCH($A20,Assumptions!$C$4:$E$4,0)))))*INDEX(Assumptions!$C$25:$E$25,1,MATCH($A20,Assumptions!$C$4:$E$4,0))/1000000*IF($F20="Minimal",INDEX(Assumptions!$C$27:$E$27,1,MATCH($A20,Assumptions!$C$4:$E$4,0)),IF($F20="Standard",INDEX(Assumptions!$C$29:$E$29,1,MATCH($A20,Assumptions!$C$4:$E$4,0)),INDEX(Assumptions!$C$31:$E$31,1,MATCH($A20,Assumptions!$C$4:$E$4,0))))+$B20*IF($F20="None",0,IF($F20="Minimal",INDEX(Assumptions!$C$22:$E$22,1,MATCH($A20,Assumptions!$C$4:$E$4,0)),IF($F20="Standard",INDEX(Assumptions!$C$23:$E$23,1,MATCH($A20,Assumptions!$C$4:$E$4,0)),INDEX(Assumptions!$C$24:$E$24,1,MATCH($A20,Assumptions!$C$4:$E$4,0)))))*INDEX(Assumptions!$C$26:$E$26,1,MATCH($A20,Assumptions!$C$4:$E$4,0))/1000000*IF($F20="Minimal",INDEX(Assumptions!$C$28:$E$28,1,MATCH($A20,Assumptions!$C$4:$E$4,0)),IF($F20="Standard",INDEX(Assumptions!$C$30:$E$30,1,MATCH($A20,Assumptions!$C$4:$E$4,0)),INDEX(Assumptions!$C$32:$E$32,1,MATCH($A20,Assumptions!$C$4:$E$4,0))))+$B20*INDEX(Assumptions!$C$33:$E$33,1,MATCH($A20,Assumptions!$C$4:$E$4,0))*INDEX(Assumptions!$C$34:$E$34,1,MATCH($A20,Assumptions!$C$4:$E$4,0)))</f>
        <v>446</v>
      </c>
      <c r="AF20" s="16">
        <f>INDEX(Assumptions!$C$19:$E$19,1,MATCH($A20,Assumptions!$C$4:$E$4,0))</f>
        <v>0</v>
      </c>
      <c r="AG20" s="16">
        <f>$C20*$I20*'COGS Matrix'!$I$30</f>
        <v>0</v>
      </c>
      <c r="AH20" s="16">
        <f>IF($A20="High",'COGS Matrix'!$I$31+IF($F20="Heavy",199,'COGS Matrix'!$I$32),0)</f>
        <v>0</v>
      </c>
      <c r="AI20" s="16">
        <f t="shared" si="7"/>
        <v>740.178</v>
      </c>
      <c r="AJ20" s="16">
        <f>$AI20*(1+INDEX(Assumptions!$C$44:$E$44,1,MATCH($A20,Assumptions!$C$4:$E$4,0)))*(1+INDEX(Assumptions!$C$45:$E$45,1,MATCH($A20,Assumptions!$C$4:$E$4,0)))</f>
        <v>1021.4456399999998</v>
      </c>
      <c r="AK20" s="16">
        <f>0</f>
        <v>0</v>
      </c>
      <c r="AL20" s="16">
        <f t="shared" si="8"/>
        <v>40900</v>
      </c>
      <c r="AM20" s="16">
        <f>0</f>
        <v>0</v>
      </c>
    </row>
    <row r="21" spans="1:39" x14ac:dyDescent="0.35">
      <c r="A21" s="2" t="s">
        <v>5</v>
      </c>
      <c r="B21" s="2">
        <v>10000</v>
      </c>
      <c r="C21" s="2">
        <v>1</v>
      </c>
      <c r="D21" s="2">
        <v>6</v>
      </c>
      <c r="E21" s="2" t="s">
        <v>490</v>
      </c>
      <c r="F21" s="2" t="s">
        <v>1132</v>
      </c>
      <c r="G21" s="2" t="s">
        <v>535</v>
      </c>
      <c r="H21" s="2" t="s">
        <v>683</v>
      </c>
      <c r="I21" s="2">
        <v>0</v>
      </c>
      <c r="J21" s="2">
        <v>0</v>
      </c>
      <c r="K21" s="11">
        <v>249</v>
      </c>
      <c r="L21" s="11">
        <v>8</v>
      </c>
      <c r="M21" s="15">
        <f t="shared" si="0"/>
        <v>5133.7241999999997</v>
      </c>
      <c r="N21" s="15">
        <f>0</f>
        <v>0</v>
      </c>
      <c r="O21" s="15">
        <f t="shared" si="1"/>
        <v>5133.7241999999997</v>
      </c>
      <c r="P21" s="15">
        <f t="shared" si="2"/>
        <v>80249</v>
      </c>
      <c r="Q21" s="14">
        <f t="shared" si="3"/>
        <v>0.93602756171416468</v>
      </c>
      <c r="R21" s="14">
        <f t="shared" si="4"/>
        <v>0.93602756171416468</v>
      </c>
      <c r="S21" s="15">
        <f>M21/(1-INDEX(Assumptions!$C$46:$E$46,1,MATCH($A21,Assumptions!$C$4:$E$4,0)))</f>
        <v>25668.621000000003</v>
      </c>
      <c r="T21" s="15">
        <f t="shared" si="5"/>
        <v>0.51337241999999994</v>
      </c>
      <c r="U21" s="15">
        <f t="shared" si="6"/>
        <v>5133.7241999999997</v>
      </c>
      <c r="V21" s="15">
        <f>0</f>
        <v>0</v>
      </c>
      <c r="W21" s="15">
        <f>0</f>
        <v>0</v>
      </c>
      <c r="Y21" s="16">
        <f>$B21*$D21*INDEX(Assumptions!$C$10:$E$10,1,MATCH($A21,Assumptions!$C$4:$E$4,0))*IF($E21="Economical",INDEX(Assumptions!$C$13:$E$13,1,MATCH($A21,Assumptions!$C$4:$E$4,0)),IF($E21="Base incremental",INDEX(Assumptions!$C$14:$E$14,1,MATCH($A21,Assumptions!$C$4:$E$4,0)),INDEX(Assumptions!$C$15:$E$15,1,MATCH($A21,Assumptions!$C$4:$E$4,0))))*30*INDEX(Assumptions!$C$11:$E$11,1,MATCH($A21,Assumptions!$C$4:$E$4,0))</f>
        <v>180000000</v>
      </c>
      <c r="Z21" s="16">
        <f>$Y21/INDEX(Assumptions!$C$12:$E$12,1,MATCH($A21,Assumptions!$C$4:$E$4,0))+$C21*INDEX(Assumptions!$C$6:$E$6,1,MATCH($A21,Assumptions!$C$4:$E$4,0))*300</f>
        <v>1802400</v>
      </c>
      <c r="AA21" s="16">
        <f>'COGS Matrix'!$I$9+MAX(0,($Z21-'COGS Matrix'!$J$10)/1000000)*'COGS Matrix'!$I$10+MAX(0,($Z21*INDEX(Assumptions!$C$16:$E$16,1,MATCH($A21,Assumptions!$C$4:$E$4,0))-'COGS Matrix'!$J$11)/1000000)*'COGS Matrix'!$I$11+MAX(0,($B21*$D21*IF($E21="Economical",INDEX(Assumptions!$C$13:$E$13,1,MATCH($A21,Assumptions!$C$4:$E$4,0)),IF($E21="Base incremental",INDEX(Assumptions!$C$14:$E$14,1,MATCH($A21,Assumptions!$C$4:$E$4,0)),INDEX(Assumptions!$C$15:$E$15,1,MATCH($A21,Assumptions!$C$4:$E$4,0))))*30*3-'COGS Matrix'!$J$12)/1000000)*'COGS Matrix'!$I$12+MAX(0,($Z21*INDEX(Assumptions!$C$17:$E$17,1,MATCH($A21,Assumptions!$C$4:$E$4,0))*INDEX(Assumptions!$C$18:$E$18,1,MATCH($A21,Assumptions!$C$4:$E$4,0))-'COGS Matrix'!$J$13)/1000000)*'COGS Matrix'!$I$13</f>
        <v>13.24</v>
      </c>
      <c r="AB21" s="16">
        <f>MAX(0,CEILING($B21*INDEX(Assumptions!$C$7:$E$7,1,MATCH($A21,Assumptions!$C$4:$E$4,0)),1)-'COGS Matrix'!$J$14)*'COGS Matrix'!$I$14+MAX(0,CEILING($Y21/1000000,1)-'COGS Matrix'!$J$15/1000000)*'COGS Matrix'!$I$15+MAX(0,CEILING($Z21/1000000,1)-'COGS Matrix'!$J$16/1000000)*'COGS Matrix'!$I$16</f>
        <v>1105.3499999999999</v>
      </c>
      <c r="AC21" s="16">
        <f>IF($G21="BYO",0,IF($G21="Shared",1,IF($G21="Dedicated",$C21,0))*'COGS Matrix'!$I$17+IF($G21="Shared",1,IF($G21="Dedicated",$C21,0))*MAX(0,MAX(IF($Y21&lt;20000000,10,IF($Y21&lt;100000000,15,IF($Y21&lt;500000000,60,111))),IF($J21=1,15,0))-10)+MAX(0,$B21*INDEX(Assumptions!$C$8:$E$8,1,MATCH($A21,Assumptions!$C$4:$E$4,0))-8*IF($G21="Shared",1,IF($G21="Dedicated",$C21,0)))*'COGS Matrix'!$I$19+MAX(0,$B21*INDEX(Assumptions!$C$9:$E$9,1,MATCH($A21,Assumptions!$C$4:$E$4,0))-250*IF($G21="Shared",1,IF($G21="Dedicated",$C21,0)))*'COGS Matrix'!$I$20+$J21*730*IF($G21="Shared",1,IF($G21="Dedicated",$C21,0))*'COGS Matrix'!$I$21)</f>
        <v>371.5</v>
      </c>
      <c r="AD21" s="16">
        <f>IF(ROUNDUP($C21*$D21*INDEX(Assumptions!$C$20:$E$20,1,MATCH($A21,Assumptions!$C$4:$E$4,0)),0)=0,0,'COGS Matrix'!$I$24+MAX(0,ROUNDUP($C21*$D21*INDEX(Assumptions!$C$20:$E$20,1,MATCH($A21,Assumptions!$C$4:$E$4,0)),0)-'COGS Matrix'!$J$24))</f>
        <v>0</v>
      </c>
      <c r="AE21" s="16">
        <f>IF($F21="None",0,$B21*IF($F21="None",0,IF($F21="Minimal",INDEX(Assumptions!$C$22:$E$22,1,MATCH($A21,Assumptions!$C$4:$E$4,0)),IF($F21="Standard",INDEX(Assumptions!$C$23:$E$23,1,MATCH($A21,Assumptions!$C$4:$E$4,0)),INDEX(Assumptions!$C$24:$E$24,1,MATCH($A21,Assumptions!$C$4:$E$4,0)))))*INDEX(Assumptions!$C$25:$E$25,1,MATCH($A21,Assumptions!$C$4:$E$4,0))/1000000*IF($F21="Minimal",INDEX(Assumptions!$C$27:$E$27,1,MATCH($A21,Assumptions!$C$4:$E$4,0)),IF($F21="Standard",INDEX(Assumptions!$C$29:$E$29,1,MATCH($A21,Assumptions!$C$4:$E$4,0)),INDEX(Assumptions!$C$31:$E$31,1,MATCH($A21,Assumptions!$C$4:$E$4,0))))+$B21*IF($F21="None",0,IF($F21="Minimal",INDEX(Assumptions!$C$22:$E$22,1,MATCH($A21,Assumptions!$C$4:$E$4,0)),IF($F21="Standard",INDEX(Assumptions!$C$23:$E$23,1,MATCH($A21,Assumptions!$C$4:$E$4,0)),INDEX(Assumptions!$C$24:$E$24,1,MATCH($A21,Assumptions!$C$4:$E$4,0)))))*INDEX(Assumptions!$C$26:$E$26,1,MATCH($A21,Assumptions!$C$4:$E$4,0))/1000000*IF($F21="Minimal",INDEX(Assumptions!$C$28:$E$28,1,MATCH($A21,Assumptions!$C$4:$E$4,0)),IF($F21="Standard",INDEX(Assumptions!$C$30:$E$30,1,MATCH($A21,Assumptions!$C$4:$E$4,0)),INDEX(Assumptions!$C$32:$E$32,1,MATCH($A21,Assumptions!$C$4:$E$4,0))))+$B21*INDEX(Assumptions!$C$33:$E$33,1,MATCH($A21,Assumptions!$C$4:$E$4,0))*INDEX(Assumptions!$C$34:$E$34,1,MATCH($A21,Assumptions!$C$4:$E$4,0)))</f>
        <v>2230</v>
      </c>
      <c r="AF21" s="16">
        <f>INDEX(Assumptions!$C$19:$E$19,1,MATCH($A21,Assumptions!$C$4:$E$4,0))</f>
        <v>0</v>
      </c>
      <c r="AG21" s="16">
        <f>$C21*$I21*'COGS Matrix'!$I$30</f>
        <v>0</v>
      </c>
      <c r="AH21" s="16">
        <f>IF($A21="High",'COGS Matrix'!$I$31+IF($F21="Heavy",199,'COGS Matrix'!$I$32),0)</f>
        <v>0</v>
      </c>
      <c r="AI21" s="16">
        <f t="shared" si="7"/>
        <v>3720.09</v>
      </c>
      <c r="AJ21" s="16">
        <f>$AI21*(1+INDEX(Assumptions!$C$44:$E$44,1,MATCH($A21,Assumptions!$C$4:$E$4,0)))*(1+INDEX(Assumptions!$C$45:$E$45,1,MATCH($A21,Assumptions!$C$4:$E$4,0)))</f>
        <v>5133.7241999999997</v>
      </c>
      <c r="AK21" s="16">
        <f>0</f>
        <v>0</v>
      </c>
      <c r="AL21" s="16">
        <f t="shared" si="8"/>
        <v>80249</v>
      </c>
      <c r="AM21" s="16">
        <f>0</f>
        <v>0</v>
      </c>
    </row>
    <row r="22" spans="1:39" x14ac:dyDescent="0.35">
      <c r="A22" s="2" t="s">
        <v>5</v>
      </c>
      <c r="B22" s="2">
        <v>10000</v>
      </c>
      <c r="C22" s="2">
        <v>5</v>
      </c>
      <c r="D22" s="2">
        <v>6</v>
      </c>
      <c r="E22" s="2" t="s">
        <v>490</v>
      </c>
      <c r="F22" s="2" t="s">
        <v>1132</v>
      </c>
      <c r="G22" s="2" t="s">
        <v>535</v>
      </c>
      <c r="H22" s="2" t="s">
        <v>683</v>
      </c>
      <c r="I22" s="2">
        <v>0</v>
      </c>
      <c r="J22" s="2">
        <v>0</v>
      </c>
      <c r="K22" s="11">
        <v>249</v>
      </c>
      <c r="L22" s="11">
        <v>8</v>
      </c>
      <c r="M22" s="15">
        <f t="shared" si="0"/>
        <v>5133.7241999999997</v>
      </c>
      <c r="N22" s="15">
        <f>0</f>
        <v>0</v>
      </c>
      <c r="O22" s="15">
        <f t="shared" si="1"/>
        <v>5133.7241999999997</v>
      </c>
      <c r="P22" s="15">
        <f t="shared" si="2"/>
        <v>81245</v>
      </c>
      <c r="Q22" s="14">
        <f t="shared" si="3"/>
        <v>0.93681181365007082</v>
      </c>
      <c r="R22" s="14">
        <f t="shared" si="4"/>
        <v>0.93681181365007082</v>
      </c>
      <c r="S22" s="15">
        <f>M22/(1-INDEX(Assumptions!$C$46:$E$46,1,MATCH($A22,Assumptions!$C$4:$E$4,0)))</f>
        <v>25668.621000000003</v>
      </c>
      <c r="T22" s="15">
        <f t="shared" si="5"/>
        <v>0.51337241999999994</v>
      </c>
      <c r="U22" s="15">
        <f t="shared" si="6"/>
        <v>1026.7448399999998</v>
      </c>
      <c r="V22" s="15">
        <f>0</f>
        <v>0</v>
      </c>
      <c r="W22" s="15">
        <f>0</f>
        <v>0</v>
      </c>
      <c r="Y22" s="16">
        <f>$B22*$D22*INDEX(Assumptions!$C$10:$E$10,1,MATCH($A22,Assumptions!$C$4:$E$4,0))*IF($E22="Economical",INDEX(Assumptions!$C$13:$E$13,1,MATCH($A22,Assumptions!$C$4:$E$4,0)),IF($E22="Base incremental",INDEX(Assumptions!$C$14:$E$14,1,MATCH($A22,Assumptions!$C$4:$E$4,0)),INDEX(Assumptions!$C$15:$E$15,1,MATCH($A22,Assumptions!$C$4:$E$4,0))))*30*INDEX(Assumptions!$C$11:$E$11,1,MATCH($A22,Assumptions!$C$4:$E$4,0))</f>
        <v>180000000</v>
      </c>
      <c r="Z22" s="16">
        <f>$Y22/INDEX(Assumptions!$C$12:$E$12,1,MATCH($A22,Assumptions!$C$4:$E$4,0))+$C22*INDEX(Assumptions!$C$6:$E$6,1,MATCH($A22,Assumptions!$C$4:$E$4,0))*300</f>
        <v>1812000</v>
      </c>
      <c r="AA22" s="16">
        <f>'COGS Matrix'!$I$9+MAX(0,($Z22-'COGS Matrix'!$J$10)/1000000)*'COGS Matrix'!$I$10+MAX(0,($Z22*INDEX(Assumptions!$C$16:$E$16,1,MATCH($A22,Assumptions!$C$4:$E$4,0))-'COGS Matrix'!$J$11)/1000000)*'COGS Matrix'!$I$11+MAX(0,($B22*$D22*IF($E22="Economical",INDEX(Assumptions!$C$13:$E$13,1,MATCH($A22,Assumptions!$C$4:$E$4,0)),IF($E22="Base incremental",INDEX(Assumptions!$C$14:$E$14,1,MATCH($A22,Assumptions!$C$4:$E$4,0)),INDEX(Assumptions!$C$15:$E$15,1,MATCH($A22,Assumptions!$C$4:$E$4,0))))*30*3-'COGS Matrix'!$J$12)/1000000)*'COGS Matrix'!$I$12+MAX(0,($Z22*INDEX(Assumptions!$C$17:$E$17,1,MATCH($A22,Assumptions!$C$4:$E$4,0))*INDEX(Assumptions!$C$18:$E$18,1,MATCH($A22,Assumptions!$C$4:$E$4,0))-'COGS Matrix'!$J$13)/1000000)*'COGS Matrix'!$I$13</f>
        <v>13.24</v>
      </c>
      <c r="AB22" s="16">
        <f>MAX(0,CEILING($B22*INDEX(Assumptions!$C$7:$E$7,1,MATCH($A22,Assumptions!$C$4:$E$4,0)),1)-'COGS Matrix'!$J$14)*'COGS Matrix'!$I$14+MAX(0,CEILING($Y22/1000000,1)-'COGS Matrix'!$J$15/1000000)*'COGS Matrix'!$I$15+MAX(0,CEILING($Z22/1000000,1)-'COGS Matrix'!$J$16/1000000)*'COGS Matrix'!$I$16</f>
        <v>1105.3499999999999</v>
      </c>
      <c r="AC22" s="16">
        <f>IF($G22="BYO",0,IF($G22="Shared",1,IF($G22="Dedicated",$C22,0))*'COGS Matrix'!$I$17+IF($G22="Shared",1,IF($G22="Dedicated",$C22,0))*MAX(0,MAX(IF($Y22&lt;20000000,10,IF($Y22&lt;100000000,15,IF($Y22&lt;500000000,60,111))),IF($J22=1,15,0))-10)+MAX(0,$B22*INDEX(Assumptions!$C$8:$E$8,1,MATCH($A22,Assumptions!$C$4:$E$4,0))-8*IF($G22="Shared",1,IF($G22="Dedicated",$C22,0)))*'COGS Matrix'!$I$19+MAX(0,$B22*INDEX(Assumptions!$C$9:$E$9,1,MATCH($A22,Assumptions!$C$4:$E$4,0))-250*IF($G22="Shared",1,IF($G22="Dedicated",$C22,0)))*'COGS Matrix'!$I$20+$J22*730*IF($G22="Shared",1,IF($G22="Dedicated",$C22,0))*'COGS Matrix'!$I$21)</f>
        <v>371.5</v>
      </c>
      <c r="AD22" s="16">
        <f>IF(ROUNDUP($C22*$D22*INDEX(Assumptions!$C$20:$E$20,1,MATCH($A22,Assumptions!$C$4:$E$4,0)),0)=0,0,'COGS Matrix'!$I$24+MAX(0,ROUNDUP($C22*$D22*INDEX(Assumptions!$C$20:$E$20,1,MATCH($A22,Assumptions!$C$4:$E$4,0)),0)-'COGS Matrix'!$J$24))</f>
        <v>0</v>
      </c>
      <c r="AE22" s="16">
        <f>IF($F22="None",0,$B22*IF($F22="None",0,IF($F22="Minimal",INDEX(Assumptions!$C$22:$E$22,1,MATCH($A22,Assumptions!$C$4:$E$4,0)),IF($F22="Standard",INDEX(Assumptions!$C$23:$E$23,1,MATCH($A22,Assumptions!$C$4:$E$4,0)),INDEX(Assumptions!$C$24:$E$24,1,MATCH($A22,Assumptions!$C$4:$E$4,0)))))*INDEX(Assumptions!$C$25:$E$25,1,MATCH($A22,Assumptions!$C$4:$E$4,0))/1000000*IF($F22="Minimal",INDEX(Assumptions!$C$27:$E$27,1,MATCH($A22,Assumptions!$C$4:$E$4,0)),IF($F22="Standard",INDEX(Assumptions!$C$29:$E$29,1,MATCH($A22,Assumptions!$C$4:$E$4,0)),INDEX(Assumptions!$C$31:$E$31,1,MATCH($A22,Assumptions!$C$4:$E$4,0))))+$B22*IF($F22="None",0,IF($F22="Minimal",INDEX(Assumptions!$C$22:$E$22,1,MATCH($A22,Assumptions!$C$4:$E$4,0)),IF($F22="Standard",INDEX(Assumptions!$C$23:$E$23,1,MATCH($A22,Assumptions!$C$4:$E$4,0)),INDEX(Assumptions!$C$24:$E$24,1,MATCH($A22,Assumptions!$C$4:$E$4,0)))))*INDEX(Assumptions!$C$26:$E$26,1,MATCH($A22,Assumptions!$C$4:$E$4,0))/1000000*IF($F22="Minimal",INDEX(Assumptions!$C$28:$E$28,1,MATCH($A22,Assumptions!$C$4:$E$4,0)),IF($F22="Standard",INDEX(Assumptions!$C$30:$E$30,1,MATCH($A22,Assumptions!$C$4:$E$4,0)),INDEX(Assumptions!$C$32:$E$32,1,MATCH($A22,Assumptions!$C$4:$E$4,0))))+$B22*INDEX(Assumptions!$C$33:$E$33,1,MATCH($A22,Assumptions!$C$4:$E$4,0))*INDEX(Assumptions!$C$34:$E$34,1,MATCH($A22,Assumptions!$C$4:$E$4,0)))</f>
        <v>2230</v>
      </c>
      <c r="AF22" s="16">
        <f>INDEX(Assumptions!$C$19:$E$19,1,MATCH($A22,Assumptions!$C$4:$E$4,0))</f>
        <v>0</v>
      </c>
      <c r="AG22" s="16">
        <f>$C22*$I22*'COGS Matrix'!$I$30</f>
        <v>0</v>
      </c>
      <c r="AH22" s="16">
        <f>IF($A22="High",'COGS Matrix'!$I$31+IF($F22="Heavy",199,'COGS Matrix'!$I$32),0)</f>
        <v>0</v>
      </c>
      <c r="AI22" s="16">
        <f t="shared" si="7"/>
        <v>3720.09</v>
      </c>
      <c r="AJ22" s="16">
        <f>$AI22*(1+INDEX(Assumptions!$C$44:$E$44,1,MATCH($A22,Assumptions!$C$4:$E$4,0)))*(1+INDEX(Assumptions!$C$45:$E$45,1,MATCH($A22,Assumptions!$C$4:$E$4,0)))</f>
        <v>5133.7241999999997</v>
      </c>
      <c r="AK22" s="16">
        <f>0</f>
        <v>0</v>
      </c>
      <c r="AL22" s="16">
        <f t="shared" si="8"/>
        <v>81245</v>
      </c>
      <c r="AM22" s="16">
        <f>0</f>
        <v>0</v>
      </c>
    </row>
    <row r="23" spans="1:39" x14ac:dyDescent="0.35">
      <c r="A23" s="2" t="s">
        <v>5</v>
      </c>
      <c r="B23" s="2">
        <v>10000</v>
      </c>
      <c r="C23" s="2">
        <v>20</v>
      </c>
      <c r="D23" s="2">
        <v>6</v>
      </c>
      <c r="E23" s="2" t="s">
        <v>490</v>
      </c>
      <c r="F23" s="2" t="s">
        <v>1132</v>
      </c>
      <c r="G23" s="2" t="s">
        <v>535</v>
      </c>
      <c r="H23" s="2" t="s">
        <v>683</v>
      </c>
      <c r="I23" s="2">
        <v>0</v>
      </c>
      <c r="J23" s="2">
        <v>0</v>
      </c>
      <c r="K23" s="11">
        <v>249</v>
      </c>
      <c r="L23" s="11">
        <v>8</v>
      </c>
      <c r="M23" s="15">
        <f t="shared" si="0"/>
        <v>5133.7241999999997</v>
      </c>
      <c r="N23" s="15">
        <f>0</f>
        <v>0</v>
      </c>
      <c r="O23" s="15">
        <f t="shared" si="1"/>
        <v>5133.7241999999997</v>
      </c>
      <c r="P23" s="15">
        <f t="shared" si="2"/>
        <v>84980</v>
      </c>
      <c r="Q23" s="14">
        <f t="shared" si="3"/>
        <v>0.93958903036008479</v>
      </c>
      <c r="R23" s="14">
        <f t="shared" si="4"/>
        <v>0.93958903036008479</v>
      </c>
      <c r="S23" s="15">
        <f>M23/(1-INDEX(Assumptions!$C$46:$E$46,1,MATCH($A23,Assumptions!$C$4:$E$4,0)))</f>
        <v>25668.621000000003</v>
      </c>
      <c r="T23" s="15">
        <f t="shared" si="5"/>
        <v>0.51337241999999994</v>
      </c>
      <c r="U23" s="15">
        <f t="shared" si="6"/>
        <v>256.68620999999996</v>
      </c>
      <c r="V23" s="15">
        <f>0</f>
        <v>0</v>
      </c>
      <c r="W23" s="15">
        <f>0</f>
        <v>0</v>
      </c>
      <c r="Y23" s="16">
        <f>$B23*$D23*INDEX(Assumptions!$C$10:$E$10,1,MATCH($A23,Assumptions!$C$4:$E$4,0))*IF($E23="Economical",INDEX(Assumptions!$C$13:$E$13,1,MATCH($A23,Assumptions!$C$4:$E$4,0)),IF($E23="Base incremental",INDEX(Assumptions!$C$14:$E$14,1,MATCH($A23,Assumptions!$C$4:$E$4,0)),INDEX(Assumptions!$C$15:$E$15,1,MATCH($A23,Assumptions!$C$4:$E$4,0))))*30*INDEX(Assumptions!$C$11:$E$11,1,MATCH($A23,Assumptions!$C$4:$E$4,0))</f>
        <v>180000000</v>
      </c>
      <c r="Z23" s="16">
        <f>$Y23/INDEX(Assumptions!$C$12:$E$12,1,MATCH($A23,Assumptions!$C$4:$E$4,0))+$C23*INDEX(Assumptions!$C$6:$E$6,1,MATCH($A23,Assumptions!$C$4:$E$4,0))*300</f>
        <v>1848000</v>
      </c>
      <c r="AA23" s="16">
        <f>'COGS Matrix'!$I$9+MAX(0,($Z23-'COGS Matrix'!$J$10)/1000000)*'COGS Matrix'!$I$10+MAX(0,($Z23*INDEX(Assumptions!$C$16:$E$16,1,MATCH($A23,Assumptions!$C$4:$E$4,0))-'COGS Matrix'!$J$11)/1000000)*'COGS Matrix'!$I$11+MAX(0,($B23*$D23*IF($E23="Economical",INDEX(Assumptions!$C$13:$E$13,1,MATCH($A23,Assumptions!$C$4:$E$4,0)),IF($E23="Base incremental",INDEX(Assumptions!$C$14:$E$14,1,MATCH($A23,Assumptions!$C$4:$E$4,0)),INDEX(Assumptions!$C$15:$E$15,1,MATCH($A23,Assumptions!$C$4:$E$4,0))))*30*3-'COGS Matrix'!$J$12)/1000000)*'COGS Matrix'!$I$12+MAX(0,($Z23*INDEX(Assumptions!$C$17:$E$17,1,MATCH($A23,Assumptions!$C$4:$E$4,0))*INDEX(Assumptions!$C$18:$E$18,1,MATCH($A23,Assumptions!$C$4:$E$4,0))-'COGS Matrix'!$J$13)/1000000)*'COGS Matrix'!$I$13</f>
        <v>13.24</v>
      </c>
      <c r="AB23" s="16">
        <f>MAX(0,CEILING($B23*INDEX(Assumptions!$C$7:$E$7,1,MATCH($A23,Assumptions!$C$4:$E$4,0)),1)-'COGS Matrix'!$J$14)*'COGS Matrix'!$I$14+MAX(0,CEILING($Y23/1000000,1)-'COGS Matrix'!$J$15/1000000)*'COGS Matrix'!$I$15+MAX(0,CEILING($Z23/1000000,1)-'COGS Matrix'!$J$16/1000000)*'COGS Matrix'!$I$16</f>
        <v>1105.3499999999999</v>
      </c>
      <c r="AC23" s="16">
        <f>IF($G23="BYO",0,IF($G23="Shared",1,IF($G23="Dedicated",$C23,0))*'COGS Matrix'!$I$17+IF($G23="Shared",1,IF($G23="Dedicated",$C23,0))*MAX(0,MAX(IF($Y23&lt;20000000,10,IF($Y23&lt;100000000,15,IF($Y23&lt;500000000,60,111))),IF($J23=1,15,0))-10)+MAX(0,$B23*INDEX(Assumptions!$C$8:$E$8,1,MATCH($A23,Assumptions!$C$4:$E$4,0))-8*IF($G23="Shared",1,IF($G23="Dedicated",$C23,0)))*'COGS Matrix'!$I$19+MAX(0,$B23*INDEX(Assumptions!$C$9:$E$9,1,MATCH($A23,Assumptions!$C$4:$E$4,0))-250*IF($G23="Shared",1,IF($G23="Dedicated",$C23,0)))*'COGS Matrix'!$I$20+$J23*730*IF($G23="Shared",1,IF($G23="Dedicated",$C23,0))*'COGS Matrix'!$I$21)</f>
        <v>371.5</v>
      </c>
      <c r="AD23" s="16">
        <f>IF(ROUNDUP($C23*$D23*INDEX(Assumptions!$C$20:$E$20,1,MATCH($A23,Assumptions!$C$4:$E$4,0)),0)=0,0,'COGS Matrix'!$I$24+MAX(0,ROUNDUP($C23*$D23*INDEX(Assumptions!$C$20:$E$20,1,MATCH($A23,Assumptions!$C$4:$E$4,0)),0)-'COGS Matrix'!$J$24))</f>
        <v>0</v>
      </c>
      <c r="AE23" s="16">
        <f>IF($F23="None",0,$B23*IF($F23="None",0,IF($F23="Minimal",INDEX(Assumptions!$C$22:$E$22,1,MATCH($A23,Assumptions!$C$4:$E$4,0)),IF($F23="Standard",INDEX(Assumptions!$C$23:$E$23,1,MATCH($A23,Assumptions!$C$4:$E$4,0)),INDEX(Assumptions!$C$24:$E$24,1,MATCH($A23,Assumptions!$C$4:$E$4,0)))))*INDEX(Assumptions!$C$25:$E$25,1,MATCH($A23,Assumptions!$C$4:$E$4,0))/1000000*IF($F23="Minimal",INDEX(Assumptions!$C$27:$E$27,1,MATCH($A23,Assumptions!$C$4:$E$4,0)),IF($F23="Standard",INDEX(Assumptions!$C$29:$E$29,1,MATCH($A23,Assumptions!$C$4:$E$4,0)),INDEX(Assumptions!$C$31:$E$31,1,MATCH($A23,Assumptions!$C$4:$E$4,0))))+$B23*IF($F23="None",0,IF($F23="Minimal",INDEX(Assumptions!$C$22:$E$22,1,MATCH($A23,Assumptions!$C$4:$E$4,0)),IF($F23="Standard",INDEX(Assumptions!$C$23:$E$23,1,MATCH($A23,Assumptions!$C$4:$E$4,0)),INDEX(Assumptions!$C$24:$E$24,1,MATCH($A23,Assumptions!$C$4:$E$4,0)))))*INDEX(Assumptions!$C$26:$E$26,1,MATCH($A23,Assumptions!$C$4:$E$4,0))/1000000*IF($F23="Minimal",INDEX(Assumptions!$C$28:$E$28,1,MATCH($A23,Assumptions!$C$4:$E$4,0)),IF($F23="Standard",INDEX(Assumptions!$C$30:$E$30,1,MATCH($A23,Assumptions!$C$4:$E$4,0)),INDEX(Assumptions!$C$32:$E$32,1,MATCH($A23,Assumptions!$C$4:$E$4,0))))+$B23*INDEX(Assumptions!$C$33:$E$33,1,MATCH($A23,Assumptions!$C$4:$E$4,0))*INDEX(Assumptions!$C$34:$E$34,1,MATCH($A23,Assumptions!$C$4:$E$4,0)))</f>
        <v>2230</v>
      </c>
      <c r="AF23" s="16">
        <f>INDEX(Assumptions!$C$19:$E$19,1,MATCH($A23,Assumptions!$C$4:$E$4,0))</f>
        <v>0</v>
      </c>
      <c r="AG23" s="16">
        <f>$C23*$I23*'COGS Matrix'!$I$30</f>
        <v>0</v>
      </c>
      <c r="AH23" s="16">
        <f>IF($A23="High",'COGS Matrix'!$I$31+IF($F23="Heavy",199,'COGS Matrix'!$I$32),0)</f>
        <v>0</v>
      </c>
      <c r="AI23" s="16">
        <f t="shared" si="7"/>
        <v>3720.09</v>
      </c>
      <c r="AJ23" s="16">
        <f>$AI23*(1+INDEX(Assumptions!$C$44:$E$44,1,MATCH($A23,Assumptions!$C$4:$E$4,0)))*(1+INDEX(Assumptions!$C$45:$E$45,1,MATCH($A23,Assumptions!$C$4:$E$4,0)))</f>
        <v>5133.7241999999997</v>
      </c>
      <c r="AK23" s="16">
        <f>0</f>
        <v>0</v>
      </c>
      <c r="AL23" s="16">
        <f t="shared" si="8"/>
        <v>84980</v>
      </c>
      <c r="AM23" s="16">
        <f>0</f>
        <v>0</v>
      </c>
    </row>
    <row r="24" spans="1:39" x14ac:dyDescent="0.35">
      <c r="A24" s="2" t="s">
        <v>5</v>
      </c>
      <c r="B24" s="2">
        <v>10000</v>
      </c>
      <c r="C24" s="2">
        <v>100</v>
      </c>
      <c r="D24" s="2">
        <v>6</v>
      </c>
      <c r="E24" s="2" t="s">
        <v>490</v>
      </c>
      <c r="F24" s="2" t="s">
        <v>1132</v>
      </c>
      <c r="G24" s="2" t="s">
        <v>535</v>
      </c>
      <c r="H24" s="2" t="s">
        <v>683</v>
      </c>
      <c r="I24" s="2">
        <v>0</v>
      </c>
      <c r="J24" s="2">
        <v>0</v>
      </c>
      <c r="K24" s="11">
        <v>249</v>
      </c>
      <c r="L24" s="11">
        <v>8</v>
      </c>
      <c r="M24" s="15">
        <f t="shared" si="0"/>
        <v>5133.7241999999997</v>
      </c>
      <c r="N24" s="15">
        <f>0</f>
        <v>0</v>
      </c>
      <c r="O24" s="15">
        <f t="shared" si="1"/>
        <v>5133.7241999999997</v>
      </c>
      <c r="P24" s="15">
        <f t="shared" si="2"/>
        <v>104900</v>
      </c>
      <c r="Q24" s="14">
        <f t="shared" si="3"/>
        <v>0.95106077979027648</v>
      </c>
      <c r="R24" s="14">
        <f t="shared" si="4"/>
        <v>0.95106077979027648</v>
      </c>
      <c r="S24" s="15">
        <f>M24/(1-INDEX(Assumptions!$C$46:$E$46,1,MATCH($A24,Assumptions!$C$4:$E$4,0)))</f>
        <v>25668.621000000003</v>
      </c>
      <c r="T24" s="15">
        <f t="shared" si="5"/>
        <v>0.51337241999999994</v>
      </c>
      <c r="U24" s="15">
        <f t="shared" si="6"/>
        <v>51.337241999999996</v>
      </c>
      <c r="V24" s="15">
        <f>0</f>
        <v>0</v>
      </c>
      <c r="W24" s="15">
        <f>0</f>
        <v>0</v>
      </c>
      <c r="Y24" s="16">
        <f>$B24*$D24*INDEX(Assumptions!$C$10:$E$10,1,MATCH($A24,Assumptions!$C$4:$E$4,0))*IF($E24="Economical",INDEX(Assumptions!$C$13:$E$13,1,MATCH($A24,Assumptions!$C$4:$E$4,0)),IF($E24="Base incremental",INDEX(Assumptions!$C$14:$E$14,1,MATCH($A24,Assumptions!$C$4:$E$4,0)),INDEX(Assumptions!$C$15:$E$15,1,MATCH($A24,Assumptions!$C$4:$E$4,0))))*30*INDEX(Assumptions!$C$11:$E$11,1,MATCH($A24,Assumptions!$C$4:$E$4,0))</f>
        <v>180000000</v>
      </c>
      <c r="Z24" s="16">
        <f>$Y24/INDEX(Assumptions!$C$12:$E$12,1,MATCH($A24,Assumptions!$C$4:$E$4,0))+$C24*INDEX(Assumptions!$C$6:$E$6,1,MATCH($A24,Assumptions!$C$4:$E$4,0))*300</f>
        <v>2040000</v>
      </c>
      <c r="AA24" s="16">
        <f>'COGS Matrix'!$I$9+MAX(0,($Z24-'COGS Matrix'!$J$10)/1000000)*'COGS Matrix'!$I$10+MAX(0,($Z24*INDEX(Assumptions!$C$16:$E$16,1,MATCH($A24,Assumptions!$C$4:$E$4,0))-'COGS Matrix'!$J$11)/1000000)*'COGS Matrix'!$I$11+MAX(0,($B24*$D24*IF($E24="Economical",INDEX(Assumptions!$C$13:$E$13,1,MATCH($A24,Assumptions!$C$4:$E$4,0)),IF($E24="Base incremental",INDEX(Assumptions!$C$14:$E$14,1,MATCH($A24,Assumptions!$C$4:$E$4,0)),INDEX(Assumptions!$C$15:$E$15,1,MATCH($A24,Assumptions!$C$4:$E$4,0))))*30*3-'COGS Matrix'!$J$12)/1000000)*'COGS Matrix'!$I$12+MAX(0,($Z24*INDEX(Assumptions!$C$17:$E$17,1,MATCH($A24,Assumptions!$C$4:$E$4,0))*INDEX(Assumptions!$C$18:$E$18,1,MATCH($A24,Assumptions!$C$4:$E$4,0))-'COGS Matrix'!$J$13)/1000000)*'COGS Matrix'!$I$13</f>
        <v>13.24</v>
      </c>
      <c r="AB24" s="16">
        <f>MAX(0,CEILING($B24*INDEX(Assumptions!$C$7:$E$7,1,MATCH($A24,Assumptions!$C$4:$E$4,0)),1)-'COGS Matrix'!$J$14)*'COGS Matrix'!$I$14+MAX(0,CEILING($Y24/1000000,1)-'COGS Matrix'!$J$15/1000000)*'COGS Matrix'!$I$15+MAX(0,CEILING($Z24/1000000,1)-'COGS Matrix'!$J$16/1000000)*'COGS Matrix'!$I$16</f>
        <v>1105.3499999999999</v>
      </c>
      <c r="AC24" s="16">
        <f>IF($G24="BYO",0,IF($G24="Shared",1,IF($G24="Dedicated",$C24,0))*'COGS Matrix'!$I$17+IF($G24="Shared",1,IF($G24="Dedicated",$C24,0))*MAX(0,MAX(IF($Y24&lt;20000000,10,IF($Y24&lt;100000000,15,IF($Y24&lt;500000000,60,111))),IF($J24=1,15,0))-10)+MAX(0,$B24*INDEX(Assumptions!$C$8:$E$8,1,MATCH($A24,Assumptions!$C$4:$E$4,0))-8*IF($G24="Shared",1,IF($G24="Dedicated",$C24,0)))*'COGS Matrix'!$I$19+MAX(0,$B24*INDEX(Assumptions!$C$9:$E$9,1,MATCH($A24,Assumptions!$C$4:$E$4,0))-250*IF($G24="Shared",1,IF($G24="Dedicated",$C24,0)))*'COGS Matrix'!$I$20+$J24*730*IF($G24="Shared",1,IF($G24="Dedicated",$C24,0))*'COGS Matrix'!$I$21)</f>
        <v>371.5</v>
      </c>
      <c r="AD24" s="16">
        <f>IF(ROUNDUP($C24*$D24*INDEX(Assumptions!$C$20:$E$20,1,MATCH($A24,Assumptions!$C$4:$E$4,0)),0)=0,0,'COGS Matrix'!$I$24+MAX(0,ROUNDUP($C24*$D24*INDEX(Assumptions!$C$20:$E$20,1,MATCH($A24,Assumptions!$C$4:$E$4,0)),0)-'COGS Matrix'!$J$24))</f>
        <v>0</v>
      </c>
      <c r="AE24" s="16">
        <f>IF($F24="None",0,$B24*IF($F24="None",0,IF($F24="Minimal",INDEX(Assumptions!$C$22:$E$22,1,MATCH($A24,Assumptions!$C$4:$E$4,0)),IF($F24="Standard",INDEX(Assumptions!$C$23:$E$23,1,MATCH($A24,Assumptions!$C$4:$E$4,0)),INDEX(Assumptions!$C$24:$E$24,1,MATCH($A24,Assumptions!$C$4:$E$4,0)))))*INDEX(Assumptions!$C$25:$E$25,1,MATCH($A24,Assumptions!$C$4:$E$4,0))/1000000*IF($F24="Minimal",INDEX(Assumptions!$C$27:$E$27,1,MATCH($A24,Assumptions!$C$4:$E$4,0)),IF($F24="Standard",INDEX(Assumptions!$C$29:$E$29,1,MATCH($A24,Assumptions!$C$4:$E$4,0)),INDEX(Assumptions!$C$31:$E$31,1,MATCH($A24,Assumptions!$C$4:$E$4,0))))+$B24*IF($F24="None",0,IF($F24="Minimal",INDEX(Assumptions!$C$22:$E$22,1,MATCH($A24,Assumptions!$C$4:$E$4,0)),IF($F24="Standard",INDEX(Assumptions!$C$23:$E$23,1,MATCH($A24,Assumptions!$C$4:$E$4,0)),INDEX(Assumptions!$C$24:$E$24,1,MATCH($A24,Assumptions!$C$4:$E$4,0)))))*INDEX(Assumptions!$C$26:$E$26,1,MATCH($A24,Assumptions!$C$4:$E$4,0))/1000000*IF($F24="Minimal",INDEX(Assumptions!$C$28:$E$28,1,MATCH($A24,Assumptions!$C$4:$E$4,0)),IF($F24="Standard",INDEX(Assumptions!$C$30:$E$30,1,MATCH($A24,Assumptions!$C$4:$E$4,0)),INDEX(Assumptions!$C$32:$E$32,1,MATCH($A24,Assumptions!$C$4:$E$4,0))))+$B24*INDEX(Assumptions!$C$33:$E$33,1,MATCH($A24,Assumptions!$C$4:$E$4,0))*INDEX(Assumptions!$C$34:$E$34,1,MATCH($A24,Assumptions!$C$4:$E$4,0)))</f>
        <v>2230</v>
      </c>
      <c r="AF24" s="16">
        <f>INDEX(Assumptions!$C$19:$E$19,1,MATCH($A24,Assumptions!$C$4:$E$4,0))</f>
        <v>0</v>
      </c>
      <c r="AG24" s="16">
        <f>$C24*$I24*'COGS Matrix'!$I$30</f>
        <v>0</v>
      </c>
      <c r="AH24" s="16">
        <f>IF($A24="High",'COGS Matrix'!$I$31+IF($F24="Heavy",199,'COGS Matrix'!$I$32),0)</f>
        <v>0</v>
      </c>
      <c r="AI24" s="16">
        <f t="shared" si="7"/>
        <v>3720.09</v>
      </c>
      <c r="AJ24" s="16">
        <f>$AI24*(1+INDEX(Assumptions!$C$44:$E$44,1,MATCH($A24,Assumptions!$C$4:$E$4,0)))*(1+INDEX(Assumptions!$C$45:$E$45,1,MATCH($A24,Assumptions!$C$4:$E$4,0)))</f>
        <v>5133.7241999999997</v>
      </c>
      <c r="AK24" s="16">
        <f>0</f>
        <v>0</v>
      </c>
      <c r="AL24" s="16">
        <f t="shared" si="8"/>
        <v>104900</v>
      </c>
      <c r="AM24" s="16">
        <f>0</f>
        <v>0</v>
      </c>
    </row>
  </sheetData>
  <autoFilter ref="A4:W24" xr:uid="{00000000-0009-0000-0000-000006000000}"/>
  <mergeCells count="2">
    <mergeCell ref="A2:W2"/>
    <mergeCell ref="A1:W1"/>
  </mergeCells>
  <pageMargins left="0.25" right="0.25" top="0.5" bottom="0.5" header="0.5" footer="0.5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8"/>
  <sheetViews>
    <sheetView showGridLines="0" workbookViewId="0"/>
  </sheetViews>
  <sheetFormatPr defaultRowHeight="14.5" x14ac:dyDescent="0.35"/>
  <cols>
    <col min="1" max="1" width="34" customWidth="1"/>
    <col min="2" max="2" width="12" customWidth="1"/>
    <col min="3" max="3" width="14" customWidth="1"/>
    <col min="4" max="4" width="12" customWidth="1"/>
    <col min="5" max="5" width="18" customWidth="1"/>
    <col min="6" max="9" width="14" customWidth="1"/>
    <col min="10" max="10" width="16" customWidth="1"/>
    <col min="11" max="11" width="14" customWidth="1"/>
    <col min="12" max="12" width="18" customWidth="1"/>
  </cols>
  <sheetData>
    <row r="1" spans="1:12" ht="26" customHeight="1" x14ac:dyDescent="0.35">
      <c r="A1" s="41" t="s">
        <v>1145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30" customHeight="1" x14ac:dyDescent="0.35">
      <c r="A2" s="43" t="s">
        <v>1146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4" spans="1:12" ht="28" customHeight="1" x14ac:dyDescent="0.35">
      <c r="A4" s="1" t="s">
        <v>1147</v>
      </c>
      <c r="B4" s="1" t="s">
        <v>657</v>
      </c>
      <c r="C4" s="1" t="s">
        <v>1148</v>
      </c>
      <c r="D4" s="1"/>
      <c r="E4" s="1"/>
      <c r="F4" s="1"/>
      <c r="G4" s="1"/>
      <c r="H4" s="1"/>
      <c r="I4" s="1"/>
      <c r="J4" s="1"/>
      <c r="K4" s="1"/>
      <c r="L4" s="1"/>
    </row>
    <row r="5" spans="1:12" ht="34.5" customHeight="1" x14ac:dyDescent="0.35">
      <c r="A5" s="2" t="s">
        <v>1149</v>
      </c>
      <c r="B5" s="2" t="s">
        <v>1150</v>
      </c>
      <c r="C5" s="2" t="s">
        <v>1151</v>
      </c>
      <c r="D5" s="2"/>
      <c r="E5" s="2"/>
      <c r="F5" s="11"/>
      <c r="G5" s="2"/>
      <c r="H5" s="2"/>
      <c r="I5" s="2"/>
      <c r="J5" s="11"/>
      <c r="K5" s="5"/>
      <c r="L5" s="11"/>
    </row>
    <row r="6" spans="1:12" ht="34.5" customHeight="1" x14ac:dyDescent="0.35">
      <c r="A6" s="2" t="s">
        <v>1152</v>
      </c>
      <c r="B6" s="2" t="s">
        <v>1150</v>
      </c>
      <c r="C6" s="2" t="s">
        <v>1151</v>
      </c>
      <c r="D6" s="2"/>
      <c r="E6" s="2"/>
      <c r="F6" s="11"/>
      <c r="G6" s="2"/>
      <c r="H6" s="2"/>
      <c r="I6" s="2"/>
      <c r="J6" s="11"/>
      <c r="K6" s="5"/>
      <c r="L6" s="11"/>
    </row>
    <row r="7" spans="1:12" ht="34.5" customHeight="1" x14ac:dyDescent="0.35">
      <c r="A7" s="2" t="s">
        <v>1153</v>
      </c>
      <c r="B7" s="2" t="s">
        <v>1150</v>
      </c>
      <c r="C7" s="2" t="s">
        <v>1151</v>
      </c>
      <c r="D7" s="2"/>
      <c r="E7" s="2"/>
      <c r="F7" s="11"/>
      <c r="G7" s="2"/>
      <c r="H7" s="2"/>
      <c r="I7" s="2"/>
      <c r="J7" s="11"/>
      <c r="K7" s="5"/>
      <c r="L7" s="11"/>
    </row>
    <row r="8" spans="1:12" x14ac:dyDescent="0.35">
      <c r="A8" s="2"/>
      <c r="B8" s="2"/>
      <c r="C8" s="2"/>
      <c r="D8" s="2"/>
      <c r="E8" s="2"/>
      <c r="F8" s="11"/>
      <c r="G8" s="2"/>
      <c r="H8" s="2"/>
      <c r="I8" s="2"/>
      <c r="J8" s="11"/>
      <c r="K8" s="5"/>
      <c r="L8" s="11"/>
    </row>
  </sheetData>
  <mergeCells count="2">
    <mergeCell ref="A2:L2"/>
    <mergeCell ref="A1:L1"/>
  </mergeCells>
  <pageMargins left="0.25" right="0.25" top="0.5" bottom="0.5" header="0.5" footer="0.5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1"/>
  <sheetViews>
    <sheetView showGridLines="0" workbookViewId="0"/>
  </sheetViews>
  <sheetFormatPr defaultRowHeight="14.5" x14ac:dyDescent="0.35"/>
  <cols>
    <col min="1" max="1" width="34" customWidth="1"/>
    <col min="2" max="6" width="16" customWidth="1"/>
    <col min="7" max="9" width="18" customWidth="1"/>
    <col min="10" max="10" width="52" customWidth="1"/>
  </cols>
  <sheetData>
    <row r="1" spans="1:10" ht="26" customHeight="1" x14ac:dyDescent="0.35">
      <c r="A1" s="41" t="s">
        <v>1154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30" customHeight="1" x14ac:dyDescent="0.35">
      <c r="A2" s="43" t="s">
        <v>1155</v>
      </c>
      <c r="B2" s="42"/>
      <c r="C2" s="42"/>
      <c r="D2" s="42"/>
      <c r="E2" s="42"/>
      <c r="F2" s="42"/>
      <c r="G2" s="42"/>
      <c r="H2" s="42"/>
      <c r="I2" s="42"/>
      <c r="J2" s="42"/>
    </row>
    <row r="4" spans="1:10" ht="28" customHeight="1" x14ac:dyDescent="0.35">
      <c r="A4" s="1" t="s">
        <v>1106</v>
      </c>
      <c r="B4" s="1" t="s">
        <v>1111</v>
      </c>
      <c r="C4" s="1" t="s">
        <v>1112</v>
      </c>
      <c r="D4" s="1" t="s">
        <v>1113</v>
      </c>
      <c r="E4" s="1" t="s">
        <v>1156</v>
      </c>
      <c r="F4" s="1" t="s">
        <v>1157</v>
      </c>
      <c r="G4" s="1" t="s">
        <v>1158</v>
      </c>
      <c r="H4" s="1" t="s">
        <v>1159</v>
      </c>
      <c r="I4" s="1" t="s">
        <v>1160</v>
      </c>
      <c r="J4" s="1" t="s">
        <v>1122</v>
      </c>
    </row>
    <row r="5" spans="1:10" ht="23" customHeight="1" x14ac:dyDescent="0.35">
      <c r="A5" s="12" t="str">
        <f>'Unit Economics'!A5</f>
        <v>Roam Free proving tenant</v>
      </c>
      <c r="B5" s="15">
        <f>'Unit Economics'!N5</f>
        <v>41.4</v>
      </c>
      <c r="C5" s="15">
        <f>0</f>
        <v>0</v>
      </c>
      <c r="D5" s="15">
        <f t="shared" ref="D5:D11" si="0">B5</f>
        <v>41.4</v>
      </c>
      <c r="E5" s="14">
        <f>INDEX(Assumptions!$C$46:$E$46,1,MATCH('Unit Economics'!$B$5,Assumptions!$C$4:$E$4,0))</f>
        <v>0.8</v>
      </c>
      <c r="F5" s="14">
        <f>0</f>
        <v>0</v>
      </c>
      <c r="G5" s="15">
        <f t="shared" ref="G5:G11" si="1">B5/(1-E5)</f>
        <v>207.00000000000003</v>
      </c>
      <c r="H5" s="15">
        <f>0</f>
        <v>0</v>
      </c>
      <c r="I5" s="15">
        <f t="shared" ref="I5:I11" si="2">G5</f>
        <v>207.00000000000003</v>
      </c>
      <c r="J5" s="2" t="s">
        <v>1161</v>
      </c>
    </row>
    <row r="6" spans="1:10" ht="23" customHeight="1" x14ac:dyDescent="0.35">
      <c r="A6" s="12" t="str">
        <f>'Unit Economics'!A6</f>
        <v>LTA current read-only pilot</v>
      </c>
      <c r="B6" s="15">
        <f>'Unit Economics'!N6</f>
        <v>58.581000000000003</v>
      </c>
      <c r="C6" s="15">
        <f>0</f>
        <v>0</v>
      </c>
      <c r="D6" s="15">
        <f t="shared" si="0"/>
        <v>58.581000000000003</v>
      </c>
      <c r="E6" s="14">
        <f>INDEX(Assumptions!$C$46:$E$46,1,MATCH('Unit Economics'!$B$6,Assumptions!$C$4:$E$4,0))</f>
        <v>0.8</v>
      </c>
      <c r="F6" s="14">
        <f>0</f>
        <v>0</v>
      </c>
      <c r="G6" s="15">
        <f t="shared" si="1"/>
        <v>292.90500000000009</v>
      </c>
      <c r="H6" s="15">
        <f>0</f>
        <v>0</v>
      </c>
      <c r="I6" s="15">
        <f t="shared" si="2"/>
        <v>292.90500000000009</v>
      </c>
      <c r="J6" s="2" t="s">
        <v>1161</v>
      </c>
    </row>
    <row r="7" spans="1:10" ht="23" customHeight="1" x14ac:dyDescent="0.35">
      <c r="A7" s="12" t="str">
        <f>'Unit Economics'!A7</f>
        <v>25-property utility client</v>
      </c>
      <c r="B7" s="15">
        <f>'Unit Economics'!N7</f>
        <v>45.871199999999995</v>
      </c>
      <c r="C7" s="15">
        <f>0</f>
        <v>0</v>
      </c>
      <c r="D7" s="15">
        <f t="shared" si="0"/>
        <v>45.871199999999995</v>
      </c>
      <c r="E7" s="14">
        <f>INDEX(Assumptions!$C$46:$E$46,1,MATCH('Unit Economics'!$B$7,Assumptions!$C$4:$E$4,0))</f>
        <v>0.8</v>
      </c>
      <c r="F7" s="14">
        <f>0</f>
        <v>0</v>
      </c>
      <c r="G7" s="15">
        <f t="shared" si="1"/>
        <v>229.35600000000002</v>
      </c>
      <c r="H7" s="15">
        <f>0</f>
        <v>0</v>
      </c>
      <c r="I7" s="15">
        <f t="shared" si="2"/>
        <v>229.35600000000002</v>
      </c>
      <c r="J7" s="2" t="s">
        <v>1161</v>
      </c>
    </row>
    <row r="8" spans="1:10" ht="23" customHeight="1" x14ac:dyDescent="0.35">
      <c r="A8" s="12" t="str">
        <f>'Unit Economics'!A8</f>
        <v>100-property utility client</v>
      </c>
      <c r="B8" s="15">
        <f>'Unit Economics'!N8</f>
        <v>82.316999999999993</v>
      </c>
      <c r="C8" s="15">
        <f>0</f>
        <v>0</v>
      </c>
      <c r="D8" s="15">
        <f t="shared" si="0"/>
        <v>82.316999999999993</v>
      </c>
      <c r="E8" s="14">
        <f>INDEX(Assumptions!$C$46:$E$46,1,MATCH('Unit Economics'!$B$8,Assumptions!$C$4:$E$4,0))</f>
        <v>0.8</v>
      </c>
      <c r="F8" s="14">
        <f>0</f>
        <v>0</v>
      </c>
      <c r="G8" s="15">
        <f t="shared" si="1"/>
        <v>411.58500000000004</v>
      </c>
      <c r="H8" s="15">
        <f>0</f>
        <v>0</v>
      </c>
      <c r="I8" s="15">
        <f t="shared" si="2"/>
        <v>411.58500000000004</v>
      </c>
      <c r="J8" s="2" t="s">
        <v>1161</v>
      </c>
    </row>
    <row r="9" spans="1:10" ht="23" customHeight="1" x14ac:dyDescent="0.35">
      <c r="A9" s="12" t="str">
        <f>'Unit Economics'!A9</f>
        <v>500 properties / 5 clients</v>
      </c>
      <c r="B9" s="15">
        <f>'Unit Economics'!N9</f>
        <v>267.55715999999995</v>
      </c>
      <c r="C9" s="15">
        <f>0</f>
        <v>0</v>
      </c>
      <c r="D9" s="15">
        <f t="shared" si="0"/>
        <v>267.55715999999995</v>
      </c>
      <c r="E9" s="14">
        <f>INDEX(Assumptions!$C$46:$E$46,1,MATCH('Unit Economics'!$B$9,Assumptions!$C$4:$E$4,0))</f>
        <v>0.8</v>
      </c>
      <c r="F9" s="14">
        <f>0</f>
        <v>0</v>
      </c>
      <c r="G9" s="15">
        <f t="shared" si="1"/>
        <v>1337.7858000000001</v>
      </c>
      <c r="H9" s="15">
        <f>0</f>
        <v>0</v>
      </c>
      <c r="I9" s="15">
        <f t="shared" si="2"/>
        <v>1337.7858000000001</v>
      </c>
      <c r="J9" s="2" t="s">
        <v>1161</v>
      </c>
    </row>
    <row r="10" spans="1:10" ht="23" customHeight="1" x14ac:dyDescent="0.35">
      <c r="A10" s="12" t="str">
        <f>'Unit Economics'!A10</f>
        <v>2,000 properties / 20 clients</v>
      </c>
      <c r="B10" s="15">
        <f>'Unit Economics'!N10</f>
        <v>1404.1030799999999</v>
      </c>
      <c r="C10" s="15">
        <f>0</f>
        <v>0</v>
      </c>
      <c r="D10" s="15">
        <f t="shared" si="0"/>
        <v>1404.1030799999999</v>
      </c>
      <c r="E10" s="14">
        <f>INDEX(Assumptions!$C$46:$E$46,1,MATCH('Unit Economics'!$B$10,Assumptions!$C$4:$E$4,0))</f>
        <v>0.8</v>
      </c>
      <c r="F10" s="14">
        <f>0</f>
        <v>0</v>
      </c>
      <c r="G10" s="15">
        <f t="shared" si="1"/>
        <v>7020.5154000000011</v>
      </c>
      <c r="H10" s="15">
        <f>0</f>
        <v>0</v>
      </c>
      <c r="I10" s="15">
        <f t="shared" si="2"/>
        <v>7020.5154000000011</v>
      </c>
      <c r="J10" s="2" t="s">
        <v>1161</v>
      </c>
    </row>
    <row r="11" spans="1:10" ht="23" customHeight="1" x14ac:dyDescent="0.35">
      <c r="A11" s="12" t="str">
        <f>'Unit Economics'!A11</f>
        <v>10,000 properties / 100 clients</v>
      </c>
      <c r="B11" s="15">
        <f>'Unit Economics'!N11</f>
        <v>161496.576072</v>
      </c>
      <c r="C11" s="15">
        <f>0</f>
        <v>0</v>
      </c>
      <c r="D11" s="15">
        <f t="shared" si="0"/>
        <v>161496.576072</v>
      </c>
      <c r="E11" s="14">
        <f>INDEX(Assumptions!$C$46:$E$46,1,MATCH('Unit Economics'!$B$11,Assumptions!$C$4:$E$4,0))</f>
        <v>0.8</v>
      </c>
      <c r="F11" s="14">
        <f>0</f>
        <v>0</v>
      </c>
      <c r="G11" s="15">
        <f t="shared" si="1"/>
        <v>807482.88036000018</v>
      </c>
      <c r="H11" s="15">
        <f>0</f>
        <v>0</v>
      </c>
      <c r="I11" s="15">
        <f t="shared" si="2"/>
        <v>807482.88036000018</v>
      </c>
      <c r="J11" s="2" t="s">
        <v>1161</v>
      </c>
    </row>
  </sheetData>
  <mergeCells count="2">
    <mergeCell ref="A1:J1"/>
    <mergeCell ref="A2:J2"/>
  </mergeCells>
  <pageMargins left="0.25" right="0.25" top="0.5" bottom="0.5" header="0.5" footer="0.5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Assumptions</vt:lpstr>
      <vt:lpstr>Vendor Pricing</vt:lpstr>
      <vt:lpstr>Workload Drivers</vt:lpstr>
      <vt:lpstr>Scenario Calculator</vt:lpstr>
      <vt:lpstr>COGS Matrix</vt:lpstr>
      <vt:lpstr>Unit Economics</vt:lpstr>
      <vt:lpstr>Scenario Matrix</vt:lpstr>
      <vt:lpstr>Onboarding</vt:lpstr>
      <vt:lpstr>Pricing Sensitivity</vt:lpstr>
      <vt:lpstr>Bottlenecks</vt:lpstr>
      <vt:lpstr>QA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Acceleration Platform Software COGS and Unit Economics</dc:title>
  <dc:subject>Vendor and infrastructure COGS only; owner labor and overhead excluded</dc:subject>
  <dc:creator>openpyxl</dc:creator>
  <cp:lastModifiedBy>taylor jolly</cp:lastModifiedBy>
  <dcterms:created xsi:type="dcterms:W3CDTF">2026-07-14T17:49:09Z</dcterms:created>
  <dcterms:modified xsi:type="dcterms:W3CDTF">2026-07-14T20:00:11Z</dcterms:modified>
</cp:coreProperties>
</file>